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vilidaba\AppData\Local\Microsoft\Windows\INetCache\Content.Outlook\AU5EAJRB\"/>
    </mc:Choice>
  </mc:AlternateContent>
  <xr:revisionPtr revIDLastSave="0" documentId="13_ncr:1_{EB3B3B62-6722-41BC-9322-41ED192CDBE6}" xr6:coauthVersionLast="47" xr6:coauthVersionMax="47" xr10:uidLastSave="{00000000-0000-0000-0000-000000000000}"/>
  <bookViews>
    <workbookView xWindow="-98" yWindow="-98" windowWidth="28996" windowHeight="15796" tabRatio="745" xr2:uid="{00000000-000D-0000-FFFF-FFFF00000000}"/>
  </bookViews>
  <sheets>
    <sheet name="Titulinis" sheetId="1" r:id="rId1"/>
    <sheet name="Turinys" sheetId="2" r:id="rId2"/>
    <sheet name=" Forma Nr. 1-PSDF" sheetId="84" r:id="rId3"/>
    <sheet name="Forma Nr. 1-PSDF-P" sheetId="85" r:id="rId4"/>
    <sheet name="Forma 1-PSDF-I " sheetId="86" r:id="rId5"/>
    <sheet name="Forma 1-PSDF-R " sheetId="88" r:id="rId6"/>
    <sheet name="Forma Nr. 2" sheetId="89" r:id="rId7"/>
    <sheet name="Forma Nr. BV-2" sheetId="90" r:id="rId8"/>
    <sheet name="DU pažyma" sheetId="91" r:id="rId9"/>
  </sheets>
  <externalReferences>
    <externalReference r:id="rId10"/>
    <externalReference r:id="rId11"/>
  </externalReferences>
  <definedNames>
    <definedName name="_xlnm.Print_Area" localSheetId="2">' Forma Nr. 1-PSDF'!$A$1:$J$56</definedName>
    <definedName name="_xlnm.Print_Area" localSheetId="5">'Forma 1-PSDF-R '!$A$1:$J$50</definedName>
    <definedName name="_xlnm.Print_Area" localSheetId="0">Titulinis!$A$1:$I$50</definedName>
    <definedName name="_xlnm.Print_Area" localSheetId="1">Turinys!$A$1:$I$36</definedName>
    <definedName name="_xlnm.Print_Titles" localSheetId="5">'Forma 1-PSDF-R '!#REF!</definedName>
    <definedName name="_xlnm.Print_Titles" localSheetId="6">'Forma Nr. 2'!#REF!</definedName>
    <definedName name="Z_05B54777_5D6F_4067_9B5E_F0A938B54982_.wvu.Cols" localSheetId="6" hidden="1">'Forma Nr. 2'!#REF!</definedName>
    <definedName name="Z_05B54777_5D6F_4067_9B5E_F0A938B54982_.wvu.PrintTitles" localSheetId="6" hidden="1">'Forma Nr. 2'!#REF!</definedName>
    <definedName name="Z_112AFAC2_77EA_44AA_BEEF_6812D11534CE_.wvu.Cols" localSheetId="6" hidden="1">'Forma Nr. 2'!#REF!</definedName>
    <definedName name="Z_112AFAC2_77EA_44AA_BEEF_6812D11534CE_.wvu.PrintTitles" localSheetId="6" hidden="1">'Forma Nr. 2'!#REF!</definedName>
    <definedName name="Z_2639E812_3F06_4E8B_B45B_2B63CC97A751_.wvu.Cols" localSheetId="6" hidden="1">'Forma Nr. 2'!#REF!</definedName>
    <definedName name="Z_2639E812_3F06_4E8B_B45B_2B63CC97A751_.wvu.PrintTitles" localSheetId="6" hidden="1">'Forma Nr. 2'!#REF!</definedName>
    <definedName name="Z_47D04100_FABF_4D8C_9C0A_1DEC9335BC02_.wvu.Cols" localSheetId="6" hidden="1">'Forma Nr. 2'!#REF!</definedName>
    <definedName name="Z_47D04100_FABF_4D8C_9C0A_1DEC9335BC02_.wvu.PrintTitles" localSheetId="6" hidden="1">'Forma Nr. 2'!#REF!</definedName>
    <definedName name="Z_4837D77B_C401_4018_A777_ED8FA242E629_.wvu.Cols" localSheetId="6" hidden="1">'Forma Nr. 2'!#REF!</definedName>
    <definedName name="Z_4837D77B_C401_4018_A777_ED8FA242E629_.wvu.PrintTitles" localSheetId="6" hidden="1">'Forma Nr. 2'!#REF!</definedName>
    <definedName name="Z_57A1E72B_DFC1_4C5D_ABA7_C1A26EB31789_.wvu.Cols" localSheetId="6" hidden="1">'Forma Nr. 2'!#REF!</definedName>
    <definedName name="Z_57A1E72B_DFC1_4C5D_ABA7_C1A26EB31789_.wvu.PrintTitles" localSheetId="6" hidden="1">'Forma Nr. 2'!#REF!</definedName>
    <definedName name="Z_5FCAC33A_47AA_47EB_BE57_8622821F3718_.wvu.Cols" localSheetId="6" hidden="1">'Forma Nr. 2'!#REF!</definedName>
    <definedName name="Z_5FCAC33A_47AA_47EB_BE57_8622821F3718_.wvu.PrintTitles" localSheetId="6" hidden="1">'Forma Nr. 2'!#REF!</definedName>
    <definedName name="Z_758123A7_07DC_4CFE_A1C3_A6CC304C1338_.wvu.Cols" localSheetId="6" hidden="1">'Forma Nr. 2'!#REF!</definedName>
    <definedName name="Z_758123A7_07DC_4CFE_A1C3_A6CC304C1338_.wvu.PrintTitles" localSheetId="6" hidden="1">'Forma Nr. 2'!#REF!</definedName>
    <definedName name="Z_75BFD04C_8D34_49C9_A422_0335B0ABD698_.wvu.Cols" localSheetId="6" hidden="1">'Forma Nr. 2'!#REF!</definedName>
    <definedName name="Z_75BFD04C_8D34_49C9_A422_0335B0ABD698_.wvu.PrintTitles" localSheetId="6" hidden="1">'Forma Nr. 2'!#REF!</definedName>
    <definedName name="Z_7A632666_DBD4_4CFF_BD05_66382BD6FB9E_.wvu.Cols" localSheetId="6" hidden="1">'Forma Nr. 2'!#REF!</definedName>
    <definedName name="Z_7A632666_DBD4_4CFF_BD05_66382BD6FB9E_.wvu.PrintTitles" localSheetId="6" hidden="1">'Forma Nr. 2'!#REF!</definedName>
    <definedName name="Z_9B727EDB_49B4_42DC_BF97_3A35178E0BFD_.wvu.Cols" localSheetId="6" hidden="1">'Forma Nr. 2'!#REF!</definedName>
    <definedName name="Z_9B727EDB_49B4_42DC_BF97_3A35178E0BFD_.wvu.PrintTitles" localSheetId="6" hidden="1">'Forma Nr. 2'!#REF!</definedName>
    <definedName name="Z_A64B7B98_B658_4E89_BA3D_F49D1265D61E_.wvu.Cols" localSheetId="6" hidden="1">'Forma Nr. 2'!#REF!</definedName>
    <definedName name="Z_A64B7B98_B658_4E89_BA3D_F49D1265D61E_.wvu.PrintTitles" localSheetId="6" hidden="1">'Forma Nr. 2'!#REF!</definedName>
    <definedName name="Z_B9470AF3_226B_4213_A7B5_37AA221FCC86_.wvu.Cols" localSheetId="6" hidden="1">'Forma Nr. 2'!#REF!</definedName>
    <definedName name="Z_B9470AF3_226B_4213_A7B5_37AA221FCC86_.wvu.PrintTitles" localSheetId="6" hidden="1">'Forma Nr. 2'!#REF!</definedName>
    <definedName name="Z_D669FC1B_AE0B_4417_8D6F_8460D68D5677_.wvu.Cols" localSheetId="6" hidden="1">'Forma Nr. 2'!#REF!</definedName>
    <definedName name="Z_D669FC1B_AE0B_4417_8D6F_8460D68D5677_.wvu.PrintTitles" localSheetId="6" hidden="1">'Forma Nr. 2'!#REF!</definedName>
    <definedName name="Z_DF4717B8_E960_4300_AF40_4AC5F93B40E3_.wvu.Cols" localSheetId="6" hidden="1">'Forma Nr. 2'!#REF!</definedName>
    <definedName name="Z_DF4717B8_E960_4300_AF40_4AC5F93B40E3_.wvu.PrintTitles" localSheetId="6" hidden="1">'Forma Nr. 2'!#REF!</definedName>
    <definedName name="Z_F677807F_46FD_43C6_BB8F_08ECC7636E03_.wvu.Cols" localSheetId="6" hidden="1">'Forma Nr. 2'!#REF!</definedName>
    <definedName name="Z_F677807F_46FD_43C6_BB8F_08ECC7636E03_.wvu.PrintTitles" localSheetId="6" hidden="1">'Forma Nr. 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 i="88" l="1"/>
  <c r="E25" i="84"/>
  <c r="E23" i="86"/>
  <c r="E20" i="84"/>
  <c r="F20" i="84"/>
  <c r="F35" i="85"/>
  <c r="F28" i="85"/>
  <c r="F27" i="85"/>
  <c r="H27" i="85" s="1"/>
  <c r="F26" i="85"/>
  <c r="F24" i="85" s="1"/>
  <c r="F58" i="85" s="1"/>
  <c r="F25" i="85"/>
  <c r="H57" i="85"/>
  <c r="H56" i="85"/>
  <c r="F55" i="85"/>
  <c r="H55" i="85" s="1"/>
  <c r="F53" i="85"/>
  <c r="G54" i="85"/>
  <c r="H54" i="85" s="1"/>
  <c r="H53" i="85" s="1"/>
  <c r="I53" i="85"/>
  <c r="I42" i="85" s="1"/>
  <c r="D53" i="85"/>
  <c r="D42" i="85" s="1"/>
  <c r="C53" i="85"/>
  <c r="C42" i="85" s="1"/>
  <c r="F52" i="85"/>
  <c r="F50" i="85"/>
  <c r="F48" i="85" s="1"/>
  <c r="F42" i="85" s="1"/>
  <c r="H51" i="85"/>
  <c r="G50" i="85"/>
  <c r="G48" i="85" s="1"/>
  <c r="D50" i="85"/>
  <c r="H50" i="85" s="1"/>
  <c r="H48" i="85" s="1"/>
  <c r="D48" i="85"/>
  <c r="C50" i="85"/>
  <c r="H49" i="85"/>
  <c r="I48" i="85"/>
  <c r="C48" i="85"/>
  <c r="H47" i="85"/>
  <c r="H46" i="85"/>
  <c r="H45" i="85"/>
  <c r="H44" i="85"/>
  <c r="H43" i="85"/>
  <c r="H41" i="85"/>
  <c r="F40" i="85"/>
  <c r="H40" i="85"/>
  <c r="F39" i="85"/>
  <c r="I39" i="85"/>
  <c r="G39" i="85"/>
  <c r="D39" i="85"/>
  <c r="C39" i="85"/>
  <c r="H39" i="85" s="1"/>
  <c r="H38" i="85"/>
  <c r="H37" i="85"/>
  <c r="H36" i="85"/>
  <c r="I35" i="85"/>
  <c r="G35" i="85"/>
  <c r="D35" i="85"/>
  <c r="C35" i="85"/>
  <c r="H35" i="85" s="1"/>
  <c r="H34" i="85"/>
  <c r="H33" i="85"/>
  <c r="H32" i="85"/>
  <c r="H31" i="85"/>
  <c r="H30" i="85"/>
  <c r="H29" i="85" s="1"/>
  <c r="I29" i="85"/>
  <c r="G29" i="85"/>
  <c r="F29" i="85"/>
  <c r="D29" i="85"/>
  <c r="C29" i="85"/>
  <c r="I28" i="85"/>
  <c r="G28" i="85"/>
  <c r="H28" i="85" s="1"/>
  <c r="C28" i="85"/>
  <c r="I27" i="85"/>
  <c r="G27" i="85"/>
  <c r="D27" i="85"/>
  <c r="D24" i="85" s="1"/>
  <c r="D58" i="85" s="1"/>
  <c r="C27" i="85"/>
  <c r="I26" i="85"/>
  <c r="I24" i="85" s="1"/>
  <c r="G26" i="85"/>
  <c r="G24" i="85" s="1"/>
  <c r="D26" i="85"/>
  <c r="C26" i="85"/>
  <c r="I25" i="85"/>
  <c r="G25" i="85"/>
  <c r="D25" i="85"/>
  <c r="C25" i="85"/>
  <c r="C24" i="85"/>
  <c r="E24" i="85"/>
  <c r="E58" i="85" s="1"/>
  <c r="H52" i="85"/>
  <c r="J40" i="90"/>
  <c r="B38" i="90"/>
  <c r="I31" i="90"/>
  <c r="H31" i="90"/>
  <c r="H39" i="90"/>
  <c r="G31" i="90"/>
  <c r="G39" i="90" s="1"/>
  <c r="C31" i="90"/>
  <c r="J31" i="90"/>
  <c r="I25" i="90"/>
  <c r="I39" i="90"/>
  <c r="H25" i="90"/>
  <c r="G25" i="90"/>
  <c r="D25" i="90"/>
  <c r="D39" i="90" s="1"/>
  <c r="C25" i="90"/>
  <c r="L366" i="89"/>
  <c r="L365" i="89"/>
  <c r="K366" i="89"/>
  <c r="J366" i="89"/>
  <c r="J365" i="89"/>
  <c r="I366" i="89"/>
  <c r="I365" i="89" s="1"/>
  <c r="K365" i="89"/>
  <c r="L363" i="89"/>
  <c r="L362" i="89"/>
  <c r="K363" i="89"/>
  <c r="K362" i="89" s="1"/>
  <c r="J363" i="89"/>
  <c r="J362" i="89"/>
  <c r="I363" i="89"/>
  <c r="I362" i="89"/>
  <c r="L360" i="89"/>
  <c r="L359" i="89" s="1"/>
  <c r="K360" i="89"/>
  <c r="K359" i="89" s="1"/>
  <c r="J360" i="89"/>
  <c r="J359" i="89"/>
  <c r="I360" i="89"/>
  <c r="I359" i="89"/>
  <c r="L356" i="89"/>
  <c r="L355" i="89" s="1"/>
  <c r="K356" i="89"/>
  <c r="K355" i="89" s="1"/>
  <c r="J356" i="89"/>
  <c r="J355" i="89"/>
  <c r="I356" i="89"/>
  <c r="I355" i="89" s="1"/>
  <c r="L352" i="89"/>
  <c r="L351" i="89"/>
  <c r="K352" i="89"/>
  <c r="K351" i="89" s="1"/>
  <c r="J352" i="89"/>
  <c r="I352" i="89"/>
  <c r="I351" i="89" s="1"/>
  <c r="J351" i="89"/>
  <c r="L348" i="89"/>
  <c r="L347" i="89"/>
  <c r="K348" i="89"/>
  <c r="K347" i="89" s="1"/>
  <c r="J348" i="89"/>
  <c r="J347" i="89"/>
  <c r="I348" i="89"/>
  <c r="I347" i="89"/>
  <c r="L344" i="89"/>
  <c r="K344" i="89"/>
  <c r="J344" i="89"/>
  <c r="I344" i="89"/>
  <c r="L341" i="89"/>
  <c r="K341" i="89"/>
  <c r="J341" i="89"/>
  <c r="I341" i="89"/>
  <c r="P339" i="89"/>
  <c r="O339" i="89"/>
  <c r="N339" i="89"/>
  <c r="M339" i="89"/>
  <c r="L339" i="89"/>
  <c r="L338" i="89" s="1"/>
  <c r="K339" i="89"/>
  <c r="K338" i="89" s="1"/>
  <c r="J339" i="89"/>
  <c r="J338" i="89"/>
  <c r="J337" i="89"/>
  <c r="I339" i="89"/>
  <c r="I338" i="89" s="1"/>
  <c r="L334" i="89"/>
  <c r="K334" i="89"/>
  <c r="K333" i="89"/>
  <c r="J334" i="89"/>
  <c r="J333" i="89" s="1"/>
  <c r="I334" i="89"/>
  <c r="I333" i="89" s="1"/>
  <c r="L333" i="89"/>
  <c r="L331" i="89"/>
  <c r="L330" i="89" s="1"/>
  <c r="K331" i="89"/>
  <c r="K330" i="89"/>
  <c r="J331" i="89"/>
  <c r="J330" i="89"/>
  <c r="I331" i="89"/>
  <c r="I330" i="89"/>
  <c r="L328" i="89"/>
  <c r="L327" i="89" s="1"/>
  <c r="K328" i="89"/>
  <c r="K327" i="89"/>
  <c r="J328" i="89"/>
  <c r="J327" i="89"/>
  <c r="I328" i="89"/>
  <c r="I327" i="89" s="1"/>
  <c r="L324" i="89"/>
  <c r="L323" i="89" s="1"/>
  <c r="K324" i="89"/>
  <c r="K323" i="89"/>
  <c r="J324" i="89"/>
  <c r="J323" i="89" s="1"/>
  <c r="I324" i="89"/>
  <c r="I323" i="89" s="1"/>
  <c r="L320" i="89"/>
  <c r="L319" i="89" s="1"/>
  <c r="K320" i="89"/>
  <c r="K319" i="89"/>
  <c r="J320" i="89"/>
  <c r="J319" i="89" s="1"/>
  <c r="I320" i="89"/>
  <c r="I319" i="89" s="1"/>
  <c r="L316" i="89"/>
  <c r="L315" i="89" s="1"/>
  <c r="K316" i="89"/>
  <c r="K315" i="89"/>
  <c r="J316" i="89"/>
  <c r="J315" i="89"/>
  <c r="I316" i="89"/>
  <c r="I315" i="89" s="1"/>
  <c r="L312" i="89"/>
  <c r="K312" i="89"/>
  <c r="J312" i="89"/>
  <c r="I312" i="89"/>
  <c r="I306" i="89" s="1"/>
  <c r="I305" i="89" s="1"/>
  <c r="L309" i="89"/>
  <c r="K309" i="89"/>
  <c r="J309" i="89"/>
  <c r="I309" i="89"/>
  <c r="L307" i="89"/>
  <c r="L306" i="89" s="1"/>
  <c r="L305" i="89" s="1"/>
  <c r="K307" i="89"/>
  <c r="J307" i="89"/>
  <c r="J306" i="89" s="1"/>
  <c r="I307" i="89"/>
  <c r="L301" i="89"/>
  <c r="L300" i="89" s="1"/>
  <c r="K301" i="89"/>
  <c r="K300" i="89" s="1"/>
  <c r="J301" i="89"/>
  <c r="J300" i="89" s="1"/>
  <c r="I301" i="89"/>
  <c r="I300" i="89"/>
  <c r="L298" i="89"/>
  <c r="L297" i="89" s="1"/>
  <c r="K298" i="89"/>
  <c r="K297" i="89" s="1"/>
  <c r="J298" i="89"/>
  <c r="J297" i="89"/>
  <c r="I298" i="89"/>
  <c r="I297" i="89"/>
  <c r="L295" i="89"/>
  <c r="L294" i="89"/>
  <c r="K295" i="89"/>
  <c r="K294" i="89" s="1"/>
  <c r="J295" i="89"/>
  <c r="J294" i="89"/>
  <c r="I295" i="89"/>
  <c r="I294" i="89"/>
  <c r="L291" i="89"/>
  <c r="L290" i="89" s="1"/>
  <c r="K291" i="89"/>
  <c r="K290" i="89" s="1"/>
  <c r="J291" i="89"/>
  <c r="J290" i="89" s="1"/>
  <c r="I291" i="89"/>
  <c r="I290" i="89"/>
  <c r="L287" i="89"/>
  <c r="L286" i="89" s="1"/>
  <c r="K287" i="89"/>
  <c r="K286" i="89" s="1"/>
  <c r="J287" i="89"/>
  <c r="J286" i="89" s="1"/>
  <c r="I287" i="89"/>
  <c r="I286" i="89"/>
  <c r="L283" i="89"/>
  <c r="L282" i="89" s="1"/>
  <c r="K283" i="89"/>
  <c r="K282" i="89" s="1"/>
  <c r="J283" i="89"/>
  <c r="J282" i="89" s="1"/>
  <c r="I283" i="89"/>
  <c r="I282" i="89"/>
  <c r="L279" i="89"/>
  <c r="K279" i="89"/>
  <c r="J279" i="89"/>
  <c r="I279" i="89"/>
  <c r="L276" i="89"/>
  <c r="K276" i="89"/>
  <c r="J276" i="89"/>
  <c r="I276" i="89"/>
  <c r="L274" i="89"/>
  <c r="L273" i="89"/>
  <c r="K274" i="89"/>
  <c r="K273" i="89"/>
  <c r="J274" i="89"/>
  <c r="J273" i="89"/>
  <c r="I274" i="89"/>
  <c r="I273" i="89" s="1"/>
  <c r="I272" i="89" s="1"/>
  <c r="L269" i="89"/>
  <c r="L268" i="89" s="1"/>
  <c r="K269" i="89"/>
  <c r="K268" i="89"/>
  <c r="J269" i="89"/>
  <c r="J268" i="89"/>
  <c r="I269" i="89"/>
  <c r="I268" i="89"/>
  <c r="L266" i="89"/>
  <c r="L265" i="89" s="1"/>
  <c r="K266" i="89"/>
  <c r="K265" i="89"/>
  <c r="J266" i="89"/>
  <c r="J265" i="89"/>
  <c r="I266" i="89"/>
  <c r="I265" i="89" s="1"/>
  <c r="L263" i="89"/>
  <c r="K263" i="89"/>
  <c r="K262" i="89"/>
  <c r="J263" i="89"/>
  <c r="J262" i="89" s="1"/>
  <c r="I263" i="89"/>
  <c r="I262" i="89" s="1"/>
  <c r="L262" i="89"/>
  <c r="L259" i="89"/>
  <c r="L258" i="89" s="1"/>
  <c r="K259" i="89"/>
  <c r="K258" i="89"/>
  <c r="J259" i="89"/>
  <c r="J258" i="89"/>
  <c r="I259" i="89"/>
  <c r="I258" i="89" s="1"/>
  <c r="L255" i="89"/>
  <c r="L254" i="89" s="1"/>
  <c r="K255" i="89"/>
  <c r="K254" i="89" s="1"/>
  <c r="J255" i="89"/>
  <c r="J254" i="89" s="1"/>
  <c r="I255" i="89"/>
  <c r="I254" i="89"/>
  <c r="L251" i="89"/>
  <c r="K251" i="89"/>
  <c r="K250" i="89" s="1"/>
  <c r="J251" i="89"/>
  <c r="J250" i="89" s="1"/>
  <c r="I251" i="89"/>
  <c r="I250" i="89" s="1"/>
  <c r="L250" i="89"/>
  <c r="L247" i="89"/>
  <c r="K247" i="89"/>
  <c r="J247" i="89"/>
  <c r="I247" i="89"/>
  <c r="L244" i="89"/>
  <c r="K244" i="89"/>
  <c r="J244" i="89"/>
  <c r="I244" i="89"/>
  <c r="L242" i="89"/>
  <c r="L241" i="89"/>
  <c r="K242" i="89"/>
  <c r="K241" i="89" s="1"/>
  <c r="K240" i="89" s="1"/>
  <c r="J242" i="89"/>
  <c r="J241" i="89" s="1"/>
  <c r="I242" i="89"/>
  <c r="I241" i="89" s="1"/>
  <c r="I240" i="89" s="1"/>
  <c r="L235" i="89"/>
  <c r="L234" i="89"/>
  <c r="L233" i="89" s="1"/>
  <c r="K235" i="89"/>
  <c r="K234" i="89" s="1"/>
  <c r="K233" i="89" s="1"/>
  <c r="J235" i="89"/>
  <c r="J234" i="89" s="1"/>
  <c r="J233" i="89" s="1"/>
  <c r="I235" i="89"/>
  <c r="I234" i="89"/>
  <c r="I233" i="89" s="1"/>
  <c r="L231" i="89"/>
  <c r="L230" i="89"/>
  <c r="L229" i="89"/>
  <c r="K231" i="89"/>
  <c r="K230" i="89"/>
  <c r="K229" i="89"/>
  <c r="J231" i="89"/>
  <c r="J230" i="89" s="1"/>
  <c r="J229" i="89" s="1"/>
  <c r="I231" i="89"/>
  <c r="I230" i="89"/>
  <c r="I229" i="89" s="1"/>
  <c r="P222" i="89"/>
  <c r="O222" i="89"/>
  <c r="N222" i="89"/>
  <c r="M222" i="89"/>
  <c r="L222" i="89"/>
  <c r="K222" i="89"/>
  <c r="J222" i="89"/>
  <c r="J221" i="89" s="1"/>
  <c r="I222" i="89"/>
  <c r="L221" i="89"/>
  <c r="L217" i="89" s="1"/>
  <c r="K221" i="89"/>
  <c r="I221" i="89"/>
  <c r="L219" i="89"/>
  <c r="L218" i="89"/>
  <c r="K219" i="89"/>
  <c r="K218" i="89"/>
  <c r="J219" i="89"/>
  <c r="J218" i="89" s="1"/>
  <c r="J217" i="89" s="1"/>
  <c r="I219" i="89"/>
  <c r="I218" i="89" s="1"/>
  <c r="I217" i="89" s="1"/>
  <c r="L212" i="89"/>
  <c r="L211" i="89" s="1"/>
  <c r="L210" i="89" s="1"/>
  <c r="K212" i="89"/>
  <c r="K211" i="89" s="1"/>
  <c r="K210" i="89" s="1"/>
  <c r="J212" i="89"/>
  <c r="J211" i="89" s="1"/>
  <c r="J210" i="89" s="1"/>
  <c r="I212" i="89"/>
  <c r="I211" i="89"/>
  <c r="I210" i="89"/>
  <c r="L208" i="89"/>
  <c r="L207" i="89"/>
  <c r="K208" i="89"/>
  <c r="K207" i="89"/>
  <c r="J208" i="89"/>
  <c r="J207" i="89" s="1"/>
  <c r="I208" i="89"/>
  <c r="I207" i="89"/>
  <c r="L203" i="89"/>
  <c r="L202" i="89" s="1"/>
  <c r="K203" i="89"/>
  <c r="K202" i="89"/>
  <c r="J203" i="89"/>
  <c r="J202" i="89"/>
  <c r="I203" i="89"/>
  <c r="I202" i="89"/>
  <c r="J201" i="89"/>
  <c r="J197" i="89" s="1"/>
  <c r="J196" i="89" s="1"/>
  <c r="I201" i="89"/>
  <c r="L199" i="89"/>
  <c r="K199" i="89"/>
  <c r="J199" i="89"/>
  <c r="I199" i="89"/>
  <c r="L197" i="89"/>
  <c r="L196" i="89"/>
  <c r="K197" i="89"/>
  <c r="K196" i="89"/>
  <c r="L192" i="89"/>
  <c r="L191" i="89" s="1"/>
  <c r="K192" i="89"/>
  <c r="J192" i="89"/>
  <c r="J191" i="89" s="1"/>
  <c r="I192" i="89"/>
  <c r="I191" i="89" s="1"/>
  <c r="K191" i="89"/>
  <c r="K187" i="89" s="1"/>
  <c r="L189" i="89"/>
  <c r="L188" i="89" s="1"/>
  <c r="K189" i="89"/>
  <c r="K188" i="89"/>
  <c r="J189" i="89"/>
  <c r="I189" i="89"/>
  <c r="J188" i="89"/>
  <c r="I188" i="89"/>
  <c r="L181" i="89"/>
  <c r="L180" i="89" s="1"/>
  <c r="K181" i="89"/>
  <c r="K180" i="89" s="1"/>
  <c r="J181" i="89"/>
  <c r="J180" i="89"/>
  <c r="J174" i="89" s="1"/>
  <c r="I181" i="89"/>
  <c r="I180" i="89"/>
  <c r="L176" i="89"/>
  <c r="L175" i="89" s="1"/>
  <c r="K176" i="89"/>
  <c r="K175" i="89" s="1"/>
  <c r="K174" i="89" s="1"/>
  <c r="J176" i="89"/>
  <c r="J175" i="89"/>
  <c r="I176" i="89"/>
  <c r="I175" i="89"/>
  <c r="L172" i="89"/>
  <c r="L171" i="89" s="1"/>
  <c r="L170" i="89" s="1"/>
  <c r="K172" i="89"/>
  <c r="J172" i="89"/>
  <c r="J171" i="89"/>
  <c r="J170" i="89" s="1"/>
  <c r="J169" i="89" s="1"/>
  <c r="I172" i="89"/>
  <c r="I171" i="89" s="1"/>
  <c r="I170" i="89" s="1"/>
  <c r="K171" i="89"/>
  <c r="K170" i="89"/>
  <c r="K169" i="89"/>
  <c r="L167" i="89"/>
  <c r="L166" i="89" s="1"/>
  <c r="K167" i="89"/>
  <c r="K166" i="89" s="1"/>
  <c r="K160" i="89" s="1"/>
  <c r="J167" i="89"/>
  <c r="J166" i="89" s="1"/>
  <c r="I167" i="89"/>
  <c r="I166" i="89"/>
  <c r="L162" i="89"/>
  <c r="L161" i="89"/>
  <c r="K162" i="89"/>
  <c r="J162" i="89"/>
  <c r="J161" i="89"/>
  <c r="J160" i="89"/>
  <c r="J159" i="89"/>
  <c r="I162" i="89"/>
  <c r="I161" i="89" s="1"/>
  <c r="I160" i="89" s="1"/>
  <c r="I159" i="89" s="1"/>
  <c r="K161" i="89"/>
  <c r="K159" i="89"/>
  <c r="L157" i="89"/>
  <c r="L156" i="89" s="1"/>
  <c r="L155" i="89" s="1"/>
  <c r="K157" i="89"/>
  <c r="K156" i="89" s="1"/>
  <c r="K155" i="89" s="1"/>
  <c r="K154" i="89" s="1"/>
  <c r="J157" i="89"/>
  <c r="J156" i="89"/>
  <c r="J155" i="89"/>
  <c r="J154" i="89"/>
  <c r="I157" i="89"/>
  <c r="I156" i="89" s="1"/>
  <c r="I155" i="89" s="1"/>
  <c r="I154" i="89" s="1"/>
  <c r="L154" i="89"/>
  <c r="L152" i="89"/>
  <c r="L151" i="89" s="1"/>
  <c r="K152" i="89"/>
  <c r="K151" i="89" s="1"/>
  <c r="J152" i="89"/>
  <c r="I152" i="89"/>
  <c r="J151" i="89"/>
  <c r="I151" i="89"/>
  <c r="L148" i="89"/>
  <c r="L147" i="89" s="1"/>
  <c r="L146" i="89" s="1"/>
  <c r="L140" i="89" s="1"/>
  <c r="K148" i="89"/>
  <c r="K147" i="89" s="1"/>
  <c r="K146" i="89" s="1"/>
  <c r="J148" i="89"/>
  <c r="I148" i="89"/>
  <c r="I147" i="89"/>
  <c r="I146" i="89"/>
  <c r="J147" i="89"/>
  <c r="J146" i="89" s="1"/>
  <c r="L143" i="89"/>
  <c r="L142" i="89" s="1"/>
  <c r="L141" i="89" s="1"/>
  <c r="K143" i="89"/>
  <c r="K142" i="89" s="1"/>
  <c r="K141" i="89" s="1"/>
  <c r="K140" i="89" s="1"/>
  <c r="J143" i="89"/>
  <c r="J142" i="89" s="1"/>
  <c r="J141" i="89" s="1"/>
  <c r="J140" i="89" s="1"/>
  <c r="I143" i="89"/>
  <c r="I142" i="89"/>
  <c r="I141" i="89"/>
  <c r="I140" i="89" s="1"/>
  <c r="L138" i="89"/>
  <c r="K138" i="89"/>
  <c r="J138" i="89"/>
  <c r="J137" i="89"/>
  <c r="J136" i="89"/>
  <c r="I138" i="89"/>
  <c r="I137" i="89" s="1"/>
  <c r="I136" i="89" s="1"/>
  <c r="L137" i="89"/>
  <c r="L136" i="89" s="1"/>
  <c r="K137" i="89"/>
  <c r="K136" i="89"/>
  <c r="L134" i="89"/>
  <c r="L133" i="89" s="1"/>
  <c r="L132" i="89" s="1"/>
  <c r="K134" i="89"/>
  <c r="J134" i="89"/>
  <c r="I134" i="89"/>
  <c r="I133" i="89"/>
  <c r="I132" i="89"/>
  <c r="K133" i="89"/>
  <c r="K132" i="89" s="1"/>
  <c r="J133" i="89"/>
  <c r="J132" i="89" s="1"/>
  <c r="L130" i="89"/>
  <c r="L129" i="89" s="1"/>
  <c r="L128" i="89" s="1"/>
  <c r="K130" i="89"/>
  <c r="K129" i="89" s="1"/>
  <c r="K128" i="89" s="1"/>
  <c r="J130" i="89"/>
  <c r="J129" i="89" s="1"/>
  <c r="J128" i="89" s="1"/>
  <c r="I130" i="89"/>
  <c r="I129" i="89"/>
  <c r="I128" i="89" s="1"/>
  <c r="L126" i="89"/>
  <c r="L125" i="89" s="1"/>
  <c r="L124" i="89" s="1"/>
  <c r="K126" i="89"/>
  <c r="J126" i="89"/>
  <c r="I126" i="89"/>
  <c r="I125" i="89" s="1"/>
  <c r="I124" i="89" s="1"/>
  <c r="K125" i="89"/>
  <c r="K124" i="89" s="1"/>
  <c r="J125" i="89"/>
  <c r="J124" i="89" s="1"/>
  <c r="L122" i="89"/>
  <c r="K122" i="89"/>
  <c r="J122" i="89"/>
  <c r="I122" i="89"/>
  <c r="I121" i="89"/>
  <c r="I120" i="89" s="1"/>
  <c r="L121" i="89"/>
  <c r="L120" i="89" s="1"/>
  <c r="K121" i="89"/>
  <c r="J121" i="89"/>
  <c r="J120" i="89"/>
  <c r="K120" i="89"/>
  <c r="L117" i="89"/>
  <c r="L116" i="89" s="1"/>
  <c r="K117" i="89"/>
  <c r="K116" i="89" s="1"/>
  <c r="K115" i="89" s="1"/>
  <c r="K114" i="89" s="1"/>
  <c r="J117" i="89"/>
  <c r="I117" i="89"/>
  <c r="I116" i="89" s="1"/>
  <c r="I115" i="89" s="1"/>
  <c r="L115" i="89"/>
  <c r="J116" i="89"/>
  <c r="J115" i="89" s="1"/>
  <c r="L111" i="89"/>
  <c r="L110" i="89"/>
  <c r="K111" i="89"/>
  <c r="K110" i="89"/>
  <c r="J111" i="89"/>
  <c r="J110" i="89" s="1"/>
  <c r="I111" i="89"/>
  <c r="I110" i="89" s="1"/>
  <c r="L107" i="89"/>
  <c r="L106" i="89"/>
  <c r="L105" i="89"/>
  <c r="K107" i="89"/>
  <c r="K106" i="89"/>
  <c r="K105" i="89" s="1"/>
  <c r="J107" i="89"/>
  <c r="J106" i="89" s="1"/>
  <c r="J105" i="89" s="1"/>
  <c r="I107" i="89"/>
  <c r="I106" i="89"/>
  <c r="I105" i="89" s="1"/>
  <c r="L102" i="89"/>
  <c r="L101" i="89" s="1"/>
  <c r="L100" i="89" s="1"/>
  <c r="K102" i="89"/>
  <c r="J102" i="89"/>
  <c r="J101" i="89"/>
  <c r="J100" i="89"/>
  <c r="I102" i="89"/>
  <c r="I101" i="89"/>
  <c r="I100" i="89" s="1"/>
  <c r="K101" i="89"/>
  <c r="K100" i="89"/>
  <c r="L97" i="89"/>
  <c r="L96" i="89" s="1"/>
  <c r="L95" i="89" s="1"/>
  <c r="K97" i="89"/>
  <c r="K96" i="89" s="1"/>
  <c r="K95" i="89" s="1"/>
  <c r="K94" i="89" s="1"/>
  <c r="J97" i="89"/>
  <c r="J96" i="89" s="1"/>
  <c r="J95" i="89" s="1"/>
  <c r="J94" i="89" s="1"/>
  <c r="I97" i="89"/>
  <c r="I96" i="89" s="1"/>
  <c r="I95" i="89" s="1"/>
  <c r="L90" i="89"/>
  <c r="L89" i="89" s="1"/>
  <c r="L88" i="89" s="1"/>
  <c r="L87" i="89"/>
  <c r="K90" i="89"/>
  <c r="K89" i="89" s="1"/>
  <c r="K88" i="89" s="1"/>
  <c r="K87" i="89" s="1"/>
  <c r="J90" i="89"/>
  <c r="J89" i="89" s="1"/>
  <c r="J88" i="89" s="1"/>
  <c r="J87" i="89" s="1"/>
  <c r="I90" i="89"/>
  <c r="I89" i="89" s="1"/>
  <c r="I88" i="89" s="1"/>
  <c r="I87" i="89" s="1"/>
  <c r="L85" i="89"/>
  <c r="K85" i="89"/>
  <c r="K84" i="89"/>
  <c r="K83" i="89"/>
  <c r="J85" i="89"/>
  <c r="J84" i="89" s="1"/>
  <c r="J83" i="89" s="1"/>
  <c r="I85" i="89"/>
  <c r="I84" i="89"/>
  <c r="I83" i="89" s="1"/>
  <c r="L84" i="89"/>
  <c r="L83" i="89"/>
  <c r="L79" i="89"/>
  <c r="L78" i="89" s="1"/>
  <c r="K79" i="89"/>
  <c r="K78" i="89" s="1"/>
  <c r="J79" i="89"/>
  <c r="J78" i="89" s="1"/>
  <c r="I79" i="89"/>
  <c r="I78" i="89"/>
  <c r="L74" i="89"/>
  <c r="L73" i="89" s="1"/>
  <c r="K74" i="89"/>
  <c r="K73" i="89" s="1"/>
  <c r="J74" i="89"/>
  <c r="J73" i="89" s="1"/>
  <c r="I74" i="89"/>
  <c r="I73" i="89" s="1"/>
  <c r="L69" i="89"/>
  <c r="L68" i="89" s="1"/>
  <c r="K69" i="89"/>
  <c r="K68" i="89"/>
  <c r="K67" i="89"/>
  <c r="J69" i="89"/>
  <c r="J68" i="89" s="1"/>
  <c r="I69" i="89"/>
  <c r="I68" i="89" s="1"/>
  <c r="I67" i="89" s="1"/>
  <c r="I66" i="89" s="1"/>
  <c r="L65" i="89"/>
  <c r="K65" i="89"/>
  <c r="J65" i="89"/>
  <c r="I65" i="89"/>
  <c r="L64" i="89"/>
  <c r="K64" i="89"/>
  <c r="J64" i="89"/>
  <c r="I64" i="89"/>
  <c r="L63" i="89"/>
  <c r="K63" i="89"/>
  <c r="J63" i="89"/>
  <c r="I63" i="89"/>
  <c r="L62" i="89"/>
  <c r="K62" i="89"/>
  <c r="J62" i="89"/>
  <c r="I62" i="89"/>
  <c r="L61" i="89"/>
  <c r="K61" i="89"/>
  <c r="J61" i="89"/>
  <c r="I61" i="89"/>
  <c r="L59" i="89"/>
  <c r="K59" i="89"/>
  <c r="J59" i="89"/>
  <c r="I59" i="89"/>
  <c r="L58" i="89"/>
  <c r="K58" i="89"/>
  <c r="J58" i="89"/>
  <c r="I58" i="89"/>
  <c r="L57" i="89"/>
  <c r="K57" i="89"/>
  <c r="J57" i="89"/>
  <c r="I57" i="89"/>
  <c r="L55" i="89"/>
  <c r="K55" i="89"/>
  <c r="J55" i="89"/>
  <c r="I55" i="89"/>
  <c r="L54" i="89"/>
  <c r="K54" i="89"/>
  <c r="J54" i="89"/>
  <c r="I54" i="89"/>
  <c r="L53" i="89"/>
  <c r="K53" i="89"/>
  <c r="K49" i="89" s="1"/>
  <c r="K48" i="89" s="1"/>
  <c r="K47" i="89" s="1"/>
  <c r="J53" i="89"/>
  <c r="I53" i="89"/>
  <c r="I49" i="89" s="1"/>
  <c r="I48" i="89" s="1"/>
  <c r="L52" i="89"/>
  <c r="L49" i="89" s="1"/>
  <c r="L48" i="89" s="1"/>
  <c r="L47" i="89" s="1"/>
  <c r="L46" i="89" s="1"/>
  <c r="K52" i="89"/>
  <c r="J52" i="89"/>
  <c r="I52" i="89"/>
  <c r="L51" i="89"/>
  <c r="K51" i="89"/>
  <c r="J51" i="89"/>
  <c r="I51" i="89"/>
  <c r="I47" i="89"/>
  <c r="I46" i="89" s="1"/>
  <c r="J49" i="89"/>
  <c r="J48" i="89" s="1"/>
  <c r="J47" i="89" s="1"/>
  <c r="J46" i="89" s="1"/>
  <c r="L45" i="89"/>
  <c r="L44" i="89"/>
  <c r="L43" i="89"/>
  <c r="L42" i="89" s="1"/>
  <c r="K45" i="89"/>
  <c r="J45" i="89"/>
  <c r="J44" i="89"/>
  <c r="J43" i="89"/>
  <c r="J42" i="89" s="1"/>
  <c r="I45" i="89"/>
  <c r="I44" i="89" s="1"/>
  <c r="I43" i="89" s="1"/>
  <c r="I42" i="89" s="1"/>
  <c r="L40" i="89"/>
  <c r="K40" i="89"/>
  <c r="J40" i="89"/>
  <c r="J37" i="89" s="1"/>
  <c r="J36" i="89" s="1"/>
  <c r="J35" i="89" s="1"/>
  <c r="I40" i="89"/>
  <c r="L39" i="89"/>
  <c r="L38" i="89" s="1"/>
  <c r="K39" i="89"/>
  <c r="K38" i="89" s="1"/>
  <c r="K37" i="89" s="1"/>
  <c r="K36" i="89" s="1"/>
  <c r="J39" i="89"/>
  <c r="J38" i="89"/>
  <c r="I39" i="89"/>
  <c r="I38" i="89" s="1"/>
  <c r="I37" i="89" s="1"/>
  <c r="I36" i="89" s="1"/>
  <c r="I35" i="89" s="1"/>
  <c r="I34" i="88"/>
  <c r="H34" i="88"/>
  <c r="E42" i="88" s="1"/>
  <c r="F34" i="88"/>
  <c r="E34" i="88"/>
  <c r="D34" i="88" s="1"/>
  <c r="G33" i="88"/>
  <c r="J33" i="88"/>
  <c r="D33" i="88"/>
  <c r="D32" i="88"/>
  <c r="J32" i="88" s="1"/>
  <c r="D31" i="88"/>
  <c r="J31" i="88" s="1"/>
  <c r="G30" i="88"/>
  <c r="G34" i="88"/>
  <c r="D30" i="88"/>
  <c r="J30" i="88" s="1"/>
  <c r="J34" i="88" s="1"/>
  <c r="H22" i="88"/>
  <c r="J22" i="88" s="1"/>
  <c r="D20" i="88"/>
  <c r="D21" i="88" s="1"/>
  <c r="H21" i="88" s="1"/>
  <c r="J21" i="88" s="1"/>
  <c r="D42" i="88" s="1"/>
  <c r="H19" i="88"/>
  <c r="J19" i="88" s="1"/>
  <c r="K337" i="89"/>
  <c r="I174" i="89"/>
  <c r="L57" i="86"/>
  <c r="E57" i="86"/>
  <c r="L56" i="86"/>
  <c r="R56" i="86"/>
  <c r="E56" i="86"/>
  <c r="L55" i="86"/>
  <c r="E55" i="86"/>
  <c r="L54" i="86"/>
  <c r="E54" i="86"/>
  <c r="L53" i="86"/>
  <c r="E53" i="86"/>
  <c r="Q52" i="86"/>
  <c r="O52" i="86"/>
  <c r="N52" i="86"/>
  <c r="M52" i="86"/>
  <c r="K52" i="86"/>
  <c r="J52" i="86"/>
  <c r="I52" i="86"/>
  <c r="H52" i="86"/>
  <c r="G52" i="86"/>
  <c r="F52" i="86"/>
  <c r="D52" i="86"/>
  <c r="C52" i="86"/>
  <c r="Q51" i="86"/>
  <c r="R51" i="86" s="1"/>
  <c r="L51" i="86"/>
  <c r="P51" i="86"/>
  <c r="E51" i="86"/>
  <c r="L50" i="86"/>
  <c r="E50" i="86"/>
  <c r="P49" i="86"/>
  <c r="L49" i="86"/>
  <c r="R49" i="86" s="1"/>
  <c r="E49" i="86"/>
  <c r="L48" i="86"/>
  <c r="P48" i="86"/>
  <c r="E48" i="86"/>
  <c r="R47" i="86"/>
  <c r="E47" i="86"/>
  <c r="E45" i="86" s="1"/>
  <c r="L46" i="86"/>
  <c r="R46" i="86"/>
  <c r="R45" i="86" s="1"/>
  <c r="E46" i="86"/>
  <c r="Q45" i="86"/>
  <c r="O45" i="86"/>
  <c r="N45" i="86"/>
  <c r="N30" i="86" s="1"/>
  <c r="N20" i="86" s="1"/>
  <c r="M45" i="86"/>
  <c r="L45" i="86"/>
  <c r="K45" i="86"/>
  <c r="J45" i="86"/>
  <c r="I45" i="86"/>
  <c r="H45" i="86"/>
  <c r="G45" i="86"/>
  <c r="G30" i="86"/>
  <c r="F45" i="86"/>
  <c r="F30" i="86" s="1"/>
  <c r="D45" i="86"/>
  <c r="C45" i="86"/>
  <c r="L44" i="86"/>
  <c r="R44" i="86"/>
  <c r="E44" i="86"/>
  <c r="L43" i="86"/>
  <c r="R43" i="86" s="1"/>
  <c r="P43" i="86"/>
  <c r="E43" i="86"/>
  <c r="E42" i="86"/>
  <c r="L41" i="86"/>
  <c r="R41" i="86" s="1"/>
  <c r="E41" i="86"/>
  <c r="E39" i="86" s="1"/>
  <c r="E30" i="86" s="1"/>
  <c r="AA40" i="86"/>
  <c r="Z40" i="86"/>
  <c r="Y40" i="86"/>
  <c r="X40" i="86"/>
  <c r="W40" i="86"/>
  <c r="V40" i="86"/>
  <c r="U40" i="86"/>
  <c r="T40" i="86"/>
  <c r="S40" i="86"/>
  <c r="L40" i="86"/>
  <c r="L39" i="86" s="1"/>
  <c r="E40" i="86"/>
  <c r="Q39" i="86"/>
  <c r="O39" i="86"/>
  <c r="N39" i="86"/>
  <c r="M39" i="86"/>
  <c r="K39" i="86"/>
  <c r="K30" i="86"/>
  <c r="K20" i="86"/>
  <c r="J39" i="86"/>
  <c r="J30" i="86" s="1"/>
  <c r="J20" i="86" s="1"/>
  <c r="I39" i="86"/>
  <c r="H39" i="86"/>
  <c r="G39" i="86"/>
  <c r="F39" i="86"/>
  <c r="D39" i="86"/>
  <c r="C39" i="86"/>
  <c r="C30" i="86" s="1"/>
  <c r="AA38" i="86"/>
  <c r="Z38" i="86"/>
  <c r="Y38" i="86"/>
  <c r="X38" i="86"/>
  <c r="W38" i="86"/>
  <c r="V38" i="86"/>
  <c r="U38" i="86"/>
  <c r="T38" i="86"/>
  <c r="S38" i="86"/>
  <c r="L38" i="86"/>
  <c r="R38" i="86" s="1"/>
  <c r="E38" i="86"/>
  <c r="L37" i="86"/>
  <c r="E37" i="86"/>
  <c r="E36" i="86"/>
  <c r="Q36" i="86"/>
  <c r="Q30" i="86" s="1"/>
  <c r="O36" i="86"/>
  <c r="O30" i="86"/>
  <c r="N36" i="86"/>
  <c r="M36" i="86"/>
  <c r="M30" i="86" s="1"/>
  <c r="K36" i="86"/>
  <c r="J36" i="86"/>
  <c r="I36" i="86"/>
  <c r="I30" i="86" s="1"/>
  <c r="H36" i="86"/>
  <c r="G36" i="86"/>
  <c r="F36" i="86"/>
  <c r="D36" i="86"/>
  <c r="D30" i="86" s="1"/>
  <c r="D20" i="86" s="1"/>
  <c r="C36" i="86"/>
  <c r="L35" i="86"/>
  <c r="R35" i="86" s="1"/>
  <c r="E35" i="86"/>
  <c r="L34" i="86"/>
  <c r="P34" i="86" s="1"/>
  <c r="R34" i="86"/>
  <c r="E34" i="86"/>
  <c r="L33" i="86"/>
  <c r="R33" i="86"/>
  <c r="E33" i="86"/>
  <c r="L32" i="86"/>
  <c r="P32" i="86"/>
  <c r="E32" i="86"/>
  <c r="L31" i="86"/>
  <c r="E31" i="86"/>
  <c r="Q29" i="86"/>
  <c r="L29" i="86"/>
  <c r="P29" i="86"/>
  <c r="E29" i="86"/>
  <c r="E24" i="86" s="1"/>
  <c r="Q28" i="86"/>
  <c r="R28" i="86"/>
  <c r="L28" i="86"/>
  <c r="P28" i="86" s="1"/>
  <c r="E28" i="86"/>
  <c r="Q27" i="86"/>
  <c r="R27" i="86"/>
  <c r="P27" i="86"/>
  <c r="L27" i="86"/>
  <c r="E27" i="86"/>
  <c r="Q26" i="86"/>
  <c r="L26" i="86"/>
  <c r="P26" i="86"/>
  <c r="E26" i="86"/>
  <c r="L25" i="86"/>
  <c r="R25" i="86"/>
  <c r="E25" i="86"/>
  <c r="O24" i="86"/>
  <c r="N24" i="86"/>
  <c r="M24" i="86"/>
  <c r="M20" i="86" s="1"/>
  <c r="K24" i="86"/>
  <c r="J24" i="86"/>
  <c r="I24" i="86"/>
  <c r="H24" i="86"/>
  <c r="G24" i="86"/>
  <c r="F24" i="86"/>
  <c r="D24" i="86"/>
  <c r="C24" i="86"/>
  <c r="L22" i="86"/>
  <c r="P22" i="86" s="1"/>
  <c r="P21" i="86" s="1"/>
  <c r="E22" i="86"/>
  <c r="E21" i="86" s="1"/>
  <c r="Q21" i="86"/>
  <c r="O21" i="86"/>
  <c r="O20" i="86" s="1"/>
  <c r="N21" i="86"/>
  <c r="M21" i="86"/>
  <c r="K21" i="86"/>
  <c r="J21" i="86"/>
  <c r="I21" i="86"/>
  <c r="I20" i="86" s="1"/>
  <c r="H21" i="86"/>
  <c r="G21" i="86"/>
  <c r="G20" i="86" s="1"/>
  <c r="F21" i="86"/>
  <c r="F20" i="86" s="1"/>
  <c r="D21" i="86"/>
  <c r="C21" i="86"/>
  <c r="C20" i="86" s="1"/>
  <c r="R26" i="86"/>
  <c r="P55" i="86"/>
  <c r="P31" i="86"/>
  <c r="P37" i="86"/>
  <c r="R37" i="86"/>
  <c r="P46" i="86"/>
  <c r="P45" i="86" s="1"/>
  <c r="R55" i="86"/>
  <c r="P53" i="86"/>
  <c r="P56" i="86"/>
  <c r="P44" i="86"/>
  <c r="P33" i="86"/>
  <c r="G47" i="84"/>
  <c r="G46" i="84"/>
  <c r="C46" i="84"/>
  <c r="H39" i="84"/>
  <c r="G39" i="84"/>
  <c r="F39" i="84"/>
  <c r="C38" i="84" s="1"/>
  <c r="E39" i="84"/>
  <c r="D39" i="84"/>
  <c r="C39" i="84" s="1"/>
  <c r="C37" i="84"/>
  <c r="I37" i="84"/>
  <c r="C36" i="84"/>
  <c r="I36" i="84" s="1"/>
  <c r="J35" i="84"/>
  <c r="C35" i="84"/>
  <c r="I35" i="84"/>
  <c r="C34" i="84"/>
  <c r="I34" i="84"/>
  <c r="J34" i="84"/>
  <c r="C33" i="84"/>
  <c r="I33" i="84" s="1"/>
  <c r="F25" i="84"/>
  <c r="E47" i="84" s="1"/>
  <c r="C47" i="84" s="1"/>
  <c r="I24" i="84"/>
  <c r="H24" i="84"/>
  <c r="G24" i="84"/>
  <c r="I23" i="84"/>
  <c r="H23" i="84"/>
  <c r="G23" i="84"/>
  <c r="I22" i="84"/>
  <c r="H22" i="84"/>
  <c r="G22" i="84"/>
  <c r="I21" i="84"/>
  <c r="H21" i="84"/>
  <c r="G21" i="84"/>
  <c r="I20" i="84"/>
  <c r="C20" i="84"/>
  <c r="C25" i="84" s="1"/>
  <c r="G25" i="84" s="1"/>
  <c r="G20" i="84"/>
  <c r="H20" i="84"/>
  <c r="F12" i="91"/>
  <c r="F13" i="91"/>
  <c r="I25" i="84"/>
  <c r="H25" i="84"/>
  <c r="J37" i="84"/>
  <c r="R29" i="86"/>
  <c r="R24" i="86" s="1"/>
  <c r="H30" i="86"/>
  <c r="R40" i="86"/>
  <c r="R39" i="86" s="1"/>
  <c r="H26" i="85"/>
  <c r="C58" i="85"/>
  <c r="R22" i="86"/>
  <c r="R21" i="86" s="1"/>
  <c r="R32" i="86"/>
  <c r="R48" i="86"/>
  <c r="C39" i="90"/>
  <c r="L37" i="89"/>
  <c r="L36" i="89" s="1"/>
  <c r="L35" i="89" s="1"/>
  <c r="K306" i="89"/>
  <c r="K305" i="89"/>
  <c r="K304" i="89" s="1"/>
  <c r="J25" i="90"/>
  <c r="J39" i="90"/>
  <c r="J41" i="90" s="1"/>
  <c r="L21" i="86"/>
  <c r="P38" i="86"/>
  <c r="P36" i="86"/>
  <c r="H25" i="85"/>
  <c r="J272" i="89"/>
  <c r="K46" i="89"/>
  <c r="I239" i="89" l="1"/>
  <c r="L337" i="89"/>
  <c r="L304" i="89"/>
  <c r="L187" i="89"/>
  <c r="L186" i="89" s="1"/>
  <c r="I304" i="89"/>
  <c r="L174" i="89"/>
  <c r="P52" i="86"/>
  <c r="L52" i="86"/>
  <c r="R53" i="86"/>
  <c r="I94" i="89"/>
  <c r="I34" i="89" s="1"/>
  <c r="J33" i="84"/>
  <c r="J36" i="84"/>
  <c r="J39" i="84"/>
  <c r="I39" i="84"/>
  <c r="L114" i="89"/>
  <c r="J240" i="89"/>
  <c r="J239" i="89" s="1"/>
  <c r="K272" i="89"/>
  <c r="K239" i="89" s="1"/>
  <c r="R31" i="86"/>
  <c r="R30" i="86" s="1"/>
  <c r="L30" i="86"/>
  <c r="L36" i="86"/>
  <c r="P54" i="86"/>
  <c r="R54" i="86"/>
  <c r="K44" i="89"/>
  <c r="K43" i="89" s="1"/>
  <c r="K42" i="89" s="1"/>
  <c r="K35" i="89"/>
  <c r="K34" i="89" s="1"/>
  <c r="J67" i="89"/>
  <c r="J66" i="89" s="1"/>
  <c r="J34" i="89" s="1"/>
  <c r="I114" i="89"/>
  <c r="H42" i="85"/>
  <c r="R36" i="86"/>
  <c r="Q20" i="86"/>
  <c r="L94" i="89"/>
  <c r="L34" i="89" s="1"/>
  <c r="L272" i="89"/>
  <c r="J305" i="89"/>
  <c r="J304" i="89" s="1"/>
  <c r="H20" i="86"/>
  <c r="L160" i="89"/>
  <c r="L159" i="89" s="1"/>
  <c r="L169" i="89"/>
  <c r="J187" i="89"/>
  <c r="J186" i="89" s="1"/>
  <c r="I197" i="89"/>
  <c r="I196" i="89" s="1"/>
  <c r="I187" i="89" s="1"/>
  <c r="I186" i="89" s="1"/>
  <c r="L240" i="89"/>
  <c r="R50" i="86"/>
  <c r="P50" i="86"/>
  <c r="I337" i="89"/>
  <c r="H20" i="88"/>
  <c r="J20" i="88" s="1"/>
  <c r="L67" i="89"/>
  <c r="L66" i="89" s="1"/>
  <c r="J114" i="89"/>
  <c r="I38" i="84"/>
  <c r="J38" i="84"/>
  <c r="L24" i="86"/>
  <c r="P25" i="86"/>
  <c r="P24" i="86" s="1"/>
  <c r="E52" i="86"/>
  <c r="E20" i="86" s="1"/>
  <c r="I169" i="89"/>
  <c r="K217" i="89"/>
  <c r="K186" i="89" s="1"/>
  <c r="K185" i="89" s="1"/>
  <c r="H24" i="85"/>
  <c r="I58" i="85"/>
  <c r="P35" i="86"/>
  <c r="P41" i="86"/>
  <c r="P40" i="86"/>
  <c r="P39" i="86" s="1"/>
  <c r="G53" i="85"/>
  <c r="G42" i="85" s="1"/>
  <c r="G58" i="85" s="1"/>
  <c r="L185" i="89" l="1"/>
  <c r="L369" i="89" s="1"/>
  <c r="P30" i="86"/>
  <c r="P20" i="86" s="1"/>
  <c r="R52" i="86"/>
  <c r="R20" i="86" s="1"/>
  <c r="K369" i="89"/>
  <c r="L239" i="89"/>
  <c r="L20" i="86"/>
  <c r="I185" i="89"/>
  <c r="I369" i="89" s="1"/>
  <c r="J185" i="89"/>
  <c r="J369" i="89" s="1"/>
  <c r="H58" i="85"/>
</calcChain>
</file>

<file path=xl/sharedStrings.xml><?xml version="1.0" encoding="utf-8"?>
<sst xmlns="http://schemas.openxmlformats.org/spreadsheetml/2006/main" count="958" uniqueCount="557">
  <si>
    <t>VALSTYBINĖ LIGONIŲ KASA PRIE SVEIKATOS APSAUGOS MINISTERIJOS</t>
  </si>
  <si>
    <t xml:space="preserve">PRIVALOMOJO SVEIKATOS DRAUDIMO FONDO </t>
  </si>
  <si>
    <t>2025 METŲ I -III KETVIRČIŲ BIUDŽETO VYKDYMO ATASKAITŲ RINKINYS</t>
  </si>
  <si>
    <t>Vilnius</t>
  </si>
  <si>
    <t>TURINYS</t>
  </si>
  <si>
    <t>PRIVALOMOJO SVEIKATOS DRAUDIMO FONDO BIUDŽETO VYKDYMO ATASKAITA (Forma Nr. 1-PSDF)</t>
  </si>
  <si>
    <t xml:space="preserve">PRIVALOMOJO SVEIKATOS DRAUDIMO FONDO BIUDŽETO ĮPLAUKŲ PLANO VYKDYMO ATASKAITA (Forma Nr. 1-PSDF-P) </t>
  </si>
  <si>
    <t>PRIVALOMOJO SVEIKATOS DRAUDIMO FONDO BIUDŽETO IŠLAIDŲ PLANO VYKDYMO ATASKAITA (Forma Nr. 1-PSDF-I)</t>
  </si>
  <si>
    <t>PRIVALOMOJO SVEIKATOS DRAUDIMO FONDO BIUDŽETO REZERVO ATASKAITA (Forma Nr. 1-PSDF-R)</t>
  </si>
  <si>
    <t>BIUDŽETO IŠLAIDŲ SĄMATOS VYKDYMO ATASKAITA (Forma Nr. 2)</t>
  </si>
  <si>
    <t>INFORMACIJA APIE IŠLAIDŲ DARBO UŽMOKESČIUI PLANO VYKDYMĄ (Forma Nr. BV-2)</t>
  </si>
  <si>
    <t>PRIVALOMOJO SVEIKATOS DRAUDIMO FONDO BIUDŽETO  IŠLAIDOS DARBO UŽMOKESČIUI IR ĮMOKOMS SOCIALINIAM DRAUDIMUI</t>
  </si>
  <si>
    <t>Forma Nr. 1-PSDF patvirtinta</t>
  </si>
  <si>
    <t xml:space="preserve">Valstybinės ligonių kasos prie Sveikatos apsaugos ministerijos </t>
  </si>
  <si>
    <t>direktoriaus 2025 m. birželio 26 d. įsakymu Nr. 1K-289</t>
  </si>
  <si>
    <t>PRIVALOMOJO SVEIKATOS DRAUDIMO FONDO BIUDŽETO VYKDYMO ATASKAITA</t>
  </si>
  <si>
    <t xml:space="preserve"> pagal 2025  m. rugsėjo 30 d. duomenis</t>
  </si>
  <si>
    <t>Nr.</t>
  </si>
  <si>
    <r>
      <t>Periodiškumas: I ketv. / I pusm. /</t>
    </r>
    <r>
      <rPr>
        <i/>
        <u/>
        <sz val="12"/>
        <rFont val="Aptos"/>
        <family val="2"/>
      </rPr>
      <t xml:space="preserve"> 9 mėn</t>
    </r>
    <r>
      <rPr>
        <i/>
        <sz val="12"/>
        <rFont val="Aptos"/>
        <family val="2"/>
      </rPr>
      <t>. / metinė</t>
    </r>
  </si>
  <si>
    <t>ĮPLAUKOS</t>
  </si>
  <si>
    <t>Privalomojo sveikatos draudimo fondo (PSDF) biudžeto straipsnio</t>
  </si>
  <si>
    <t>Ataskaitinio laikotarpio sumos
(tūkst. Eur)</t>
  </si>
  <si>
    <t>kodas</t>
  </si>
  <si>
    <t>pavadinimas</t>
  </si>
  <si>
    <t>planuotos</t>
  </si>
  <si>
    <t xml:space="preserve">gautinos </t>
  </si>
  <si>
    <t>gautos</t>
  </si>
  <si>
    <t>gautinos ir planuotos sumos</t>
  </si>
  <si>
    <t>gautos ir gautinos sumos</t>
  </si>
  <si>
    <t>gautos ir planuotos 
sumos</t>
  </si>
  <si>
    <t>(4 – 3)</t>
  </si>
  <si>
    <t>(5 – 4)</t>
  </si>
  <si>
    <t>(5 – 3)</t>
  </si>
  <si>
    <t>01</t>
  </si>
  <si>
    <t>Privalomojo sveikatos draudimo įmokos, iš jų:</t>
  </si>
  <si>
    <t>01 01</t>
  </si>
  <si>
    <t>Valstybinio socialinio draudimo fondo (VSDF) valdybos prie Socialinės apsaugos ir darbo ministerijos administruojamos privalomojo sveikatos draudimo įmokos ir su jomis susijusios sumos</t>
  </si>
  <si>
    <t>01 02</t>
  </si>
  <si>
    <t>Lietuvos Respublikos valstybės biudžeto įmokos už apdraustuosius, draudžiamus valstybės lėšomis</t>
  </si>
  <si>
    <t>02</t>
  </si>
  <si>
    <t>Lietuvos Respublikos valstybės biudžeto  asignavimai</t>
  </si>
  <si>
    <t>03</t>
  </si>
  <si>
    <t>Kitos teisėtai gautos pajamos</t>
  </si>
  <si>
    <t>Iš viso įplaukų</t>
  </si>
  <si>
    <t>IŠLAIDOS</t>
  </si>
  <si>
    <t>PSDF biudžeto straipsnio</t>
  </si>
  <si>
    <t>Ataskaitinio laikotarpio sumos
 (tūkst. Eur)</t>
  </si>
  <si>
    <t>Sumokėtų ir planuotų sumų skirtumas</t>
  </si>
  <si>
    <t>iš jų:</t>
  </si>
  <si>
    <t>pagal prisiimtus įsipareigojimus</t>
  </si>
  <si>
    <t>sumokėtos *</t>
  </si>
  <si>
    <t>biudžeto 
lėšos</t>
  </si>
  <si>
    <t>skirtos rezervo 
lėšos</t>
  </si>
  <si>
    <t>skirtos viršplaninės
lėšos</t>
  </si>
  <si>
    <t xml:space="preserve">tūkst. Eur              </t>
  </si>
  <si>
    <t xml:space="preserve">proc.  </t>
  </si>
  <si>
    <t>(4 + 5 + 6)</t>
  </si>
  <si>
    <t>(8 – 3)</t>
  </si>
  <si>
    <t>(8/3 * 100)</t>
  </si>
  <si>
    <t>Asmens sveikatos priežiūros paslaugoms</t>
  </si>
  <si>
    <t>Vaistams, medicinos pagalbos priemonėms (įskaitant ortopedijos technines priemones), specialiosios medicininės paskirties maisto produktams ir medicinos priemonių nuomai</t>
  </si>
  <si>
    <t>Sveikatos programoms ir kitoms sveikatos draudimo išlaidoms apmokėti</t>
  </si>
  <si>
    <t>04</t>
  </si>
  <si>
    <t>Privalomojo sveikatos draudimo sistemos funkcionavimui užtikrinti ir šį draudimą vykdančių institucijų veiklos išlaidoms apmokėti</t>
  </si>
  <si>
    <t>05</t>
  </si>
  <si>
    <t xml:space="preserve">VSDF veiklos sąnaudoms, susidarančioms dėl privalomojo sveikatos draudimo įmokų surinkimo ir pervedimo į PSDF, kompensuoti </t>
  </si>
  <si>
    <t>06</t>
  </si>
  <si>
    <t>Valstybės deleguotoms funkcijoms finansuoti Lietuvos Respublikos valstybės biudžeto asignavimais</t>
  </si>
  <si>
    <t>Iš viso išlaidų</t>
  </si>
  <si>
    <t>*</t>
  </si>
  <si>
    <t>Įvertinus  grąžintas lėšas</t>
  </si>
  <si>
    <t xml:space="preserve"> LIKUČIAI</t>
  </si>
  <si>
    <t>Lėšų likučiai (tūkst. Eur)</t>
  </si>
  <si>
    <t>PSDF biudžeto apyvartos lėšos</t>
  </si>
  <si>
    <t>PSDF biudžeto rezervas</t>
  </si>
  <si>
    <t>iš jo:</t>
  </si>
  <si>
    <t>planinės apyvartos lėšos</t>
  </si>
  <si>
    <t xml:space="preserve">lėšų suma, viršijanti planinių apyvartos lėšų sumą </t>
  </si>
  <si>
    <t>pagrindinė dalis</t>
  </si>
  <si>
    <t>rizikos valdymo dalis</t>
  </si>
  <si>
    <t>(3 + 4)</t>
  </si>
  <si>
    <t>(6 + 7)</t>
  </si>
  <si>
    <t>2</t>
  </si>
  <si>
    <t>3</t>
  </si>
  <si>
    <t>5</t>
  </si>
  <si>
    <t>6</t>
  </si>
  <si>
    <t>Sausio 1 d. duomenimis</t>
  </si>
  <si>
    <t>Rugsėjo 30 d. duomenimis</t>
  </si>
  <si>
    <t>Direktorius</t>
  </si>
  <si>
    <t>Gytis Bendorius</t>
  </si>
  <si>
    <t>(parašas)</t>
  </si>
  <si>
    <t xml:space="preserve"> </t>
  </si>
  <si>
    <t>Ekonomikos departamento Finansų ir apskaitos skyriaus vedėjas</t>
  </si>
  <si>
    <t>Visvaldas Vilkas</t>
  </si>
  <si>
    <t>Forma Nr. 1-PSDF-P patvirtinta</t>
  </si>
  <si>
    <t>Valstybinės ligonių kasos</t>
  </si>
  <si>
    <t>prie Sveikatos apsaugos ministerijos</t>
  </si>
  <si>
    <t>direktoriaus 2025 m. birželio 26 d.</t>
  </si>
  <si>
    <t>įsakymu Nr. 1K-289</t>
  </si>
  <si>
    <t>PRIVALOMOJO SVEIKATOS DRAUDIMO FONDO BIUDŽETO ĮPLAUKŲ PLANO VYKDYMO ATASKAITA</t>
  </si>
  <si>
    <r>
      <t>Periodiškumas: I ketv./I pusm./</t>
    </r>
    <r>
      <rPr>
        <b/>
        <i/>
        <u/>
        <sz val="12"/>
        <rFont val="Times New Roman"/>
        <family val="1"/>
        <charset val="186"/>
      </rPr>
      <t>9 mėn.</t>
    </r>
    <r>
      <rPr>
        <b/>
        <i/>
        <sz val="12"/>
        <rFont val="Times New Roman"/>
        <family val="1"/>
        <charset val="186"/>
      </rPr>
      <t>/metinė</t>
    </r>
  </si>
  <si>
    <t>(eurais)</t>
  </si>
  <si>
    <t>Privalomojo sveikatos draudimo fondo biudžeto įplaukų straipsnio</t>
  </si>
  <si>
    <t>Ataskaitinio laikotarpio pradžioje</t>
  </si>
  <si>
    <t>Ataskaitinį laikotarpį</t>
  </si>
  <si>
    <t>Ataskaitinio laikotarpio pabaigoje</t>
  </si>
  <si>
    <t>Kodas</t>
  </si>
  <si>
    <t xml:space="preserve"> pavadinimas</t>
  </si>
  <si>
    <t xml:space="preserve">gautinos sumos </t>
  </si>
  <si>
    <t xml:space="preserve">mokėtinos sumos </t>
  </si>
  <si>
    <t>planuotos sumos</t>
  </si>
  <si>
    <t>gautinos sumos</t>
  </si>
  <si>
    <t>gautos sumos</t>
  </si>
  <si>
    <r>
      <t xml:space="preserve">Privalomojo sveikatos draudimo įmokos </t>
    </r>
    <r>
      <rPr>
        <sz val="12"/>
        <rFont val="Times New Roman"/>
        <family val="1"/>
        <charset val="186"/>
      </rPr>
      <t>(iš jų: VSDFV 130 971 565,28  Eur užskaita; VMI 0,00 Eur užbaigiamosios apyvartos)</t>
    </r>
    <r>
      <rPr>
        <b/>
        <sz val="12"/>
        <rFont val="Times New Roman"/>
        <family val="1"/>
        <charset val="186"/>
      </rPr>
      <t>, iš jų:</t>
    </r>
  </si>
  <si>
    <t>soc.įmokos</t>
  </si>
  <si>
    <t>-</t>
  </si>
  <si>
    <t>baudos</t>
  </si>
  <si>
    <t>delspinigiai</t>
  </si>
  <si>
    <t>palūkanos</t>
  </si>
  <si>
    <t>Valstybinio socialinio draudimo fondo valdybos administruojamos privalomojo sveikatos draudimo įmokos ir su jomis susijusios sumos (iš jų 130 971 565,28 Eur užskaita)</t>
  </si>
  <si>
    <t>01 03</t>
  </si>
  <si>
    <t>Valstybinės mokesčių inspekcijos administruojamos privalomojo sveikatos draudimo įmokos ir su jomis susijusios sumos (už laikotarpį iki 2016 m. sausio 1 d.) (iš jų 0,00 Eur užbaigiamosios apyvartos)</t>
  </si>
  <si>
    <t>02 01</t>
  </si>
  <si>
    <t>Valstybės deleguotoms funkcijoms finansuoti</t>
  </si>
  <si>
    <t>02 02</t>
  </si>
  <si>
    <t>kiti Lietuvos Respublikos valstybės biudžeto asignavimai</t>
  </si>
  <si>
    <t>Kitos pajamos, iš jų:</t>
  </si>
  <si>
    <t>03 01</t>
  </si>
  <si>
    <t>Lietuvos Respublikos valstybės biudžeto lėšomis VLK mokamos veiklos sąnaudų kompensacijos už valstybės deleguotų funkcijų finansavimo administravimą</t>
  </si>
  <si>
    <t>03 02</t>
  </si>
  <si>
    <t>Rusijos Federacijos pervedamos lėšos už Rusijos kariškių pensininkų ir jų šeimos narių, nuolat gyvenančių Lietuvos Respublikoje, sveikatos priežiūrą</t>
  </si>
  <si>
    <t>03 03</t>
  </si>
  <si>
    <t>Pajamos už Europos sveikatos draudimo kortelių pakartotinį išdavimą</t>
  </si>
  <si>
    <t>03 04</t>
  </si>
  <si>
    <t>Pajamos už kompensuojamųjų vaistų pasų pakartotinį išdavimą (TLK įsiskolinimas)</t>
  </si>
  <si>
    <t>03 05</t>
  </si>
  <si>
    <t>Investicinės veiklos pajamos</t>
  </si>
  <si>
    <t>03 06</t>
  </si>
  <si>
    <t>Institucijų, vykdančių privalomąjį sveikatos draudimą, veiklos pajamos, iš jų:</t>
  </si>
  <si>
    <t>03 06 01</t>
  </si>
  <si>
    <t>03 06 02</t>
  </si>
  <si>
    <t>kitos veiklos pajamos, iš jų:</t>
  </si>
  <si>
    <t>kitos veiklos pajamos (VLK)</t>
  </si>
  <si>
    <t>kitos veiklos pajamos (TLK įsiskolinimas)</t>
  </si>
  <si>
    <t>03 07</t>
  </si>
  <si>
    <t>Kitos teisėtai gautos pajamos, iš jų:</t>
  </si>
  <si>
    <t>kitos teisėtai gautos pajamos (VLK)</t>
  </si>
  <si>
    <t>kitos teisėtai gautos pajamos (TLK įsiskolinimas)</t>
  </si>
  <si>
    <t>iš fizinių ir juridinių asmenų išieškomos lėšos už apdraustojo PSD sveikatai padarytą žalą ir už kitą PSDF biudžetui padarytą žalą</t>
  </si>
  <si>
    <t>Europos ekonominės erdvės šalių narių ir Šveicarijos Konfederacijos pervedamos lėšos už šių šalių apdraustųjų gydymą Lietuvos Respublikos asmens sveikatos priežiūros įstaigose</t>
  </si>
  <si>
    <t>Iš viso pajamų</t>
  </si>
  <si>
    <t>Forma Nr. 1-PSDF-I patvirtinta</t>
  </si>
  <si>
    <t xml:space="preserve">Valstybinės ligonių kasos prie </t>
  </si>
  <si>
    <t>Sveikatos apsaugos ministerijos</t>
  </si>
  <si>
    <t>PRIVALOMOJO SVEIKATOS DRAUDIMO FONDO BIUDŽETO IŠLAIDŲ PLANO VYKDYMO  ATASKAITA (suvestinė)</t>
  </si>
  <si>
    <t>Pagal  2025  m. rugsėjo 30 d. duomenis</t>
  </si>
  <si>
    <r>
      <t xml:space="preserve">Periodiškumas: I ketv. / I pusm. </t>
    </r>
    <r>
      <rPr>
        <i/>
        <u/>
        <sz val="12"/>
        <rFont val="Aptos"/>
        <family val="2"/>
      </rPr>
      <t>/ 9 mėn.</t>
    </r>
    <r>
      <rPr>
        <i/>
        <sz val="12"/>
        <rFont val="Aptos"/>
        <family val="2"/>
      </rPr>
      <t xml:space="preserve"> / metinė</t>
    </r>
  </si>
  <si>
    <t>(Eurais)</t>
  </si>
  <si>
    <t xml:space="preserve">Privalomojo sveikatos draudimo fondo (PSDF) biudžeto išlaidų straipsnio </t>
  </si>
  <si>
    <t>Ataskaitiniam laikotarpiui skirta suma
(6 + 7 + 8)</t>
  </si>
  <si>
    <t>iš jų</t>
  </si>
  <si>
    <t>Suma pagal priimtus įsipareigojimus</t>
  </si>
  <si>
    <t>Gauta</t>
  </si>
  <si>
    <t>Sumokėta suma
(13+14+15)</t>
  </si>
  <si>
    <t>PSDF biudžeto išlaidos po lėšų grąžinimo
(12-15)</t>
  </si>
  <si>
    <t>gautina suma</t>
  </si>
  <si>
    <t>mokėtina suma</t>
  </si>
  <si>
    <t>biudžeto lėšos*</t>
  </si>
  <si>
    <t>viršplaninės biudžeto lėšos</t>
  </si>
  <si>
    <t>rezervo lėšos*</t>
  </si>
  <si>
    <t>asignavimai</t>
  </si>
  <si>
    <t>grąžintos lėšos</t>
  </si>
  <si>
    <t xml:space="preserve">biudžeto lėšos 
(kartu su viršplaninėmis biudžeto lėšomis) </t>
  </si>
  <si>
    <t>rezervo lėšos</t>
  </si>
  <si>
    <t xml:space="preserve">01 </t>
  </si>
  <si>
    <t>Asmens sveikatos priežiūros paslaugoms,                                                                                          iš jų:</t>
  </si>
  <si>
    <t>Asmens sveikatos priežiūros paslaugoms pervedamos lėšos</t>
  </si>
  <si>
    <t>Asmens sveikatos priežiūros paslaugoms laikinai nepaskirstytos (nepervedamos) lėšos</t>
  </si>
  <si>
    <t>Vaistams, medicinos pagalbos priemonėms (įskaitant ortopedijos technines priemones) specialiosios medicinos paskirties maisto produktams ir medicinos priemonių nuomai,                                                                                              
iš jų:</t>
  </si>
  <si>
    <t>kompensuojamiesiems vaistams  ir medicinos pagalbos priemonėms</t>
  </si>
  <si>
    <t>centralizuotai apmokamiems vaistams ir medicinos pagalbos priemonėms</t>
  </si>
  <si>
    <t>02 03</t>
  </si>
  <si>
    <t>labai retų žmogaus sveikatos būklių gydymui ir gydymui nenumatytais atvejais</t>
  </si>
  <si>
    <t>02 04</t>
  </si>
  <si>
    <t>medicinos priemonių nuomai</t>
  </si>
  <si>
    <t>02 05</t>
  </si>
  <si>
    <t>ortopedijos techninėms priemonėms ir medicinos priemonėms</t>
  </si>
  <si>
    <t>Sveikatos programoms ir kitoms sveikatos draudimo išlaidoms,                                                                                      
iš jų:</t>
  </si>
  <si>
    <t>Gimdos kaklelio vėžio ankstyvosios diagnostikos programai</t>
  </si>
  <si>
    <t xml:space="preserve">Atrankinės mamografinės patikros dėl krūties vėžio finansavimo programai    </t>
  </si>
  <si>
    <t>Širdies ir kraujagyslių ligų  prevencijos ir ankstyvosios diagnostikos  programai</t>
  </si>
  <si>
    <t>Priešinės liaukos vėžio ankstyvosios diagnostikos finansavimo programai</t>
  </si>
  <si>
    <t>Storosios žarnos vėžio ankstyvosios diagnostikos finansavimo programai</t>
  </si>
  <si>
    <t xml:space="preserve">Europos Parlamento ir Tarybos reglamentams įgyvendinti bei tarpvalstybinės sveikatos priežiūros išlaidoms kompensuoti,                                                                                                                                                                                                                                                                                  iš jų:  </t>
  </si>
  <si>
    <t>Europos Sąjungos šalių apdraustųjų gydymui Lietuvos asmens sveikatos priežiūros įstaigose ir Lietuvos apdraustųjų gydymo Europos Sąjungos šalyse išlaidoms kompensuoti pagal jų pateiktus prašymus</t>
  </si>
  <si>
    <t>Lietuvos apdraustųjų gydymui Europos Sąjungos šalyse apmokėti</t>
  </si>
  <si>
    <t>Transplantacijos programai,                                                                                    iš jų:</t>
  </si>
  <si>
    <t>03 07 01</t>
  </si>
  <si>
    <t>Transplantacijos programos priemonėms finansuoti (neįskaitant išlaidų potencialiems donorams paruošti)</t>
  </si>
  <si>
    <t>03 07 02</t>
  </si>
  <si>
    <t>potencialiems donorams paruošti</t>
  </si>
  <si>
    <t>03 08</t>
  </si>
  <si>
    <t>03 09</t>
  </si>
  <si>
    <t>Nacionalinės imunoprofilaktikos programos priemonėms finansuoti</t>
  </si>
  <si>
    <t>03 10</t>
  </si>
  <si>
    <t>skubiai konsultacinei  pagalbai,                                                                                                                                                                                                                                                                                   iš jų:</t>
  </si>
  <si>
    <t>03 10 01</t>
  </si>
  <si>
    <t>skubiai konsultacinei pagalbai (sąmatinis finansavimas)</t>
  </si>
  <si>
    <t>03 10 02</t>
  </si>
  <si>
    <t>03 11</t>
  </si>
  <si>
    <t>vaistų nuo tuberkuliozės įsigijimo išlaidoms kompensuoti</t>
  </si>
  <si>
    <t>03 12</t>
  </si>
  <si>
    <t>COVID-19 ligos (koronoviruso infekcijos) vakcinacijos ir gydymo programos priemonėms finansuoti</t>
  </si>
  <si>
    <t xml:space="preserve">Valstybinio socialinio draudimo fondo veiklos sąnaudoms, susidarančioms dėl privalomojo sveikatos draudimo įmokų surinkimo ir pervedimo į Privalomojo sveikatos draudimo fondą, kompensuoti </t>
  </si>
  <si>
    <t>Valstybės deleguotoms funkcijoms finansuoti Lietuvos Respublikos valstybės biudžeto asignavimais, 
iš jų:**</t>
  </si>
  <si>
    <t>06 01</t>
  </si>
  <si>
    <t xml:space="preserve">06 02 </t>
  </si>
  <si>
    <t>kraujo donorų kompensacijoms ir neatlygintinai kraujo donorystei propaguoti</t>
  </si>
  <si>
    <t>06 03</t>
  </si>
  <si>
    <t>Lietuvos Respublikos sveikatos draudimo įstatymo 6 straipsnio 5 dalyje ir 8 straipsnio 5 dalyje nurodytų asmenų sveikatos priežiūrai</t>
  </si>
  <si>
    <t>06 04</t>
  </si>
  <si>
    <t>gyventojų priemokoms už kompensuojamuosius vaistus ir medicinos pagalbos priemones padengti</t>
  </si>
  <si>
    <t>06 05</t>
  </si>
  <si>
    <t>Privalomojo sveikatos draudimo fondo lėšomis nekompensuotinoms išlaidoms, esant nepaprastajai padėčiai ar kt., kompensuoti</t>
  </si>
  <si>
    <t>**</t>
  </si>
  <si>
    <t>6 ir 8 skiltyse „biudžeto lėšos“ bei „rezervo lėšos“ nurodytos Valstybinės ligonių kasos prie Sveikatos apsaugos ministerijos direktoriaus 2025 m. rugsėjo 29 d. įsakymu Nr. 1K-424 „Dėl Valstybinės ligonių kasos prie Sveikatos apsaugos ministerijos direktoriaus 2025 m. sausio 9 d. įsakymo Nr. 1K-11 „Dėl 2025 metų Privalomojo sveikatos draudimo fondo biudžeto lėšų, skiriamų mokėjimams atlikti, duomenų suvestinės patvirtinimo“ pakeitimo“ skirtos lėšos.</t>
  </si>
  <si>
    <t>***</t>
  </si>
  <si>
    <t xml:space="preserve">Gytis Bendorius </t>
  </si>
  <si>
    <t xml:space="preserve">Forma Nr. 1-PSDF-R patvirtinta
Valstybinės ligonių kasos prie Sveikatos apsaugos ministerijos direktoriaus 2025 m. birželio 26 d.                       įsakymu Nr. 1K-289
</t>
  </si>
  <si>
    <t>PRIVALOMOJO SVEIKATOS DRAUDIMO FONDO BIUDŽETO REZERVO SUDARYMO IR PANAUDOJIMO ATASKAITA</t>
  </si>
  <si>
    <t>pagal 2025 m. rugsėjo 30  d. duomenis</t>
  </si>
  <si>
    <r>
      <t xml:space="preserve">Periodiškumas: I ketv. / I pusm. </t>
    </r>
    <r>
      <rPr>
        <i/>
        <u/>
        <sz val="12"/>
        <rFont val="Aptos"/>
        <family val="2"/>
      </rPr>
      <t>/ 9 mėn</t>
    </r>
    <r>
      <rPr>
        <i/>
        <sz val="12"/>
        <rFont val="Aptos"/>
        <family val="2"/>
      </rPr>
      <t>. / metinė</t>
    </r>
  </si>
  <si>
    <t>1 lentelė</t>
  </si>
  <si>
    <t>(Eur)</t>
  </si>
  <si>
    <t>SUDARYMAS</t>
  </si>
  <si>
    <t>Praėjusių metų Privalomojo sveikatos draudimo fondo (PSDF) biudžeto rezervo (toliau – rezervas) lėšų likutis,
patenkantis į ataskaitinių metų rezervą</t>
  </si>
  <si>
    <t>Ataskaitinio laikotarpio PSDF biudžeto pajamų atskaitymai į rezervą</t>
  </si>
  <si>
    <t>Praėjusių metų PSDF biudžeto apyvartos
lėšų suma, kuria viršijamos planinės
apyvartos lėšos 
(pervedama į ataskaitinių metų  rezervą)</t>
  </si>
  <si>
    <t>Lėšos, skirtos  rezervui atkurti Sveikatos draudimo įstatymo 15 straipsnio 2 dalies 2 punkte ir 9 dalyje nurodytais atvejais</t>
  </si>
  <si>
    <r>
      <t xml:space="preserve">Iš viso
</t>
    </r>
    <r>
      <rPr>
        <sz val="12"/>
        <rFont val="Aptos"/>
        <family val="2"/>
      </rPr>
      <t xml:space="preserve">(2 + 3 + 4 + 5)  </t>
    </r>
  </si>
  <si>
    <t>Planuojamos rezervo lėšos*</t>
  </si>
  <si>
    <t>metinės</t>
  </si>
  <si>
    <t>ataskaitinio laikotarpio</t>
  </si>
  <si>
    <t>Faktinės rezervo lėšos</t>
  </si>
  <si>
    <t xml:space="preserve">nepervesta į rezervą ataskaitinį laikotarpį </t>
  </si>
  <si>
    <t>* Skiltyje „Planuojamos rezervo lėšos“ pateikiama informacija apie planuojamą sudaryti faktinį rezervą.</t>
  </si>
  <si>
    <t>2 lentelė</t>
  </si>
  <si>
    <t>NAUDOJIMAS</t>
  </si>
  <si>
    <r>
      <t xml:space="preserve">Ataskaitiniam laikotarpiui skirtos rezervo lėšos
</t>
    </r>
    <r>
      <rPr>
        <sz val="12"/>
        <rFont val="Aptos"/>
        <family val="2"/>
      </rPr>
      <t>(4+5)</t>
    </r>
  </si>
  <si>
    <r>
      <t xml:space="preserve">Sumokėta suma
</t>
    </r>
    <r>
      <rPr>
        <sz val="12"/>
        <rFont val="Aptos"/>
        <family val="2"/>
      </rPr>
      <t>(7 + 8)</t>
    </r>
  </si>
  <si>
    <t>iš jos</t>
  </si>
  <si>
    <r>
      <t xml:space="preserve">Skirtumas
</t>
    </r>
    <r>
      <rPr>
        <sz val="12"/>
        <rFont val="Aptos"/>
        <family val="2"/>
      </rPr>
      <t>(3 – 6)</t>
    </r>
  </si>
  <si>
    <t xml:space="preserve">PSDF biudžeto išlaidų straipsnio </t>
  </si>
  <si>
    <t>pagrindinės dalies</t>
  </si>
  <si>
    <t>rizikos valdymo dalies</t>
  </si>
  <si>
    <t>Vaistams, medicinos pagalbos priemonėms (įskaitant ortopedijos technines priemones) ir medicinos priemonių nuomai</t>
  </si>
  <si>
    <t>Iš viso</t>
  </si>
  <si>
    <t>3 lentelė</t>
  </si>
  <si>
    <t>LIKUČIAI</t>
  </si>
  <si>
    <r>
      <t xml:space="preserve">Iš viso
</t>
    </r>
    <r>
      <rPr>
        <sz val="12"/>
        <rFont val="Aptos"/>
        <family val="2"/>
      </rPr>
      <t>(3 + 4)</t>
    </r>
  </si>
  <si>
    <t>Faktinio rezervo likutis ataskaitinio laikotarpio pabaigoje**</t>
  </si>
  <si>
    <t>Asignavimų valdytojų, kitų valstybės ir savivaldybių biudžetinių įstaigų ir valstybės biudžeto asignavimus</t>
  </si>
  <si>
    <t>gaunančių kitų subjektų biudžeto vykdymo ataskaitų rinkinio ir tarpinių ataskaitų rinkinio sudarymo taisyklių</t>
  </si>
  <si>
    <t>1 priedas</t>
  </si>
  <si>
    <t xml:space="preserve">       </t>
  </si>
  <si>
    <t>Valstybinė ligonių kasa  prie Sveikatos apsaugos ministerijos, 191351679, Europos aikštė 1, 03505 Vilnius</t>
  </si>
  <si>
    <t>(įstaigos pavadinimas, kodas Juridinių asmenų registre, adresas)</t>
  </si>
  <si>
    <t>BIUDŽETO IŠLAIDŲ SĄMATOS VYKDYMO</t>
  </si>
  <si>
    <t>2025  M.  RUGSĖJO 30  D.</t>
  </si>
  <si>
    <t>Ketvirtinė</t>
  </si>
  <si>
    <t>(metinė, ketvirtinė)</t>
  </si>
  <si>
    <t>ATASKAITA</t>
  </si>
  <si>
    <t>______2025-___________    Nr. _________</t>
  </si>
  <si>
    <t xml:space="preserve">                                                                                   (data)</t>
  </si>
  <si>
    <t xml:space="preserve">PRIVALOMOJO SVEIKATOS DRAUDIMO SISTEMOS FUNKCIONAVIMUI UŽTIKRINTI 
IR ŠĮ DRAUDIMĄ VYKDANČIŲ INSTITUCIJŲ VEIKLOS IŠLAIDOMS APMOKĖTI						</t>
  </si>
  <si>
    <t>(programos pavadinimas)</t>
  </si>
  <si>
    <t xml:space="preserve">                    Ministerijos / Savivaldybės</t>
  </si>
  <si>
    <t>Departamento</t>
  </si>
  <si>
    <t>Įstaigos</t>
  </si>
  <si>
    <t>Programos</t>
  </si>
  <si>
    <t>Finansavimo šaltinio</t>
  </si>
  <si>
    <t>Valstybės funkcijos</t>
  </si>
  <si>
    <t>(eurais, ct)</t>
  </si>
  <si>
    <t>Išlaidų ekonominės klasifikacijos kodas</t>
  </si>
  <si>
    <t>Išlaidų pavadinimas</t>
  </si>
  <si>
    <t>Eil. Nr.</t>
  </si>
  <si>
    <t>Asignavimų planas, įskaitant patikslinimus</t>
  </si>
  <si>
    <t>Gauti asignavimai kartu su įskaitytu praėjusių metų lėšų likučiu</t>
  </si>
  <si>
    <t>Panaudoti asignavimai</t>
  </si>
  <si>
    <t xml:space="preserve"> metams</t>
  </si>
  <si>
    <t xml:space="preserve"> ataskaitiniam laikotarpiui</t>
  </si>
  <si>
    <t>1</t>
  </si>
  <si>
    <t>4</t>
  </si>
  <si>
    <t xml:space="preserve">Darbo užmokestis ir socialinis draudimas </t>
  </si>
  <si>
    <t>Darbo užmokestis</t>
  </si>
  <si>
    <t xml:space="preserve">Darbo užmokestis pinigais </t>
  </si>
  <si>
    <t>Pajamos natūra</t>
  </si>
  <si>
    <t xml:space="preserve">Socialinio draudimo įmokos </t>
  </si>
  <si>
    <t>Prekių ir paslaugų įsigijimo  išlaidos</t>
  </si>
  <si>
    <t>Mitybos išlaidos</t>
  </si>
  <si>
    <t>Medikamentų ir medicininių prekių bei paslaugų įsigijimo išlaidos</t>
  </si>
  <si>
    <t>Ryšių įrangos ir ryšių paslaugų įsigijimo išlaidos</t>
  </si>
  <si>
    <t>Transporto išlaikymo  ir transporto paslaugų įsigijimo išlaidos</t>
  </si>
  <si>
    <t>Aprangos ir patalynės įsigijimo bei priežiūros išlaidos</t>
  </si>
  <si>
    <t>Komandiruočių išlaidos</t>
  </si>
  <si>
    <t>Gyvenamųjų vietovių viešojo ūkio išlaidos</t>
  </si>
  <si>
    <t xml:space="preserve"> Materialiojo ir nematerialiojo turto nuomos išlaidos</t>
  </si>
  <si>
    <t>Materialiojo turto paprastojo remonto prekių ir paslaugų įsigijimo išlaidos</t>
  </si>
  <si>
    <t>Kvalifikacijos kėlimo išlaidos</t>
  </si>
  <si>
    <t>Ekspertų ir konsultantų paslaugų įsigijimo išlaidos</t>
  </si>
  <si>
    <t>Komunalinių paslaugų įsigijimo išlaidos</t>
  </si>
  <si>
    <t>Informacinių technologijų prekių ir paslaugų įsigijimo išlaidos</t>
  </si>
  <si>
    <t>Reprezentacinės išlaidos</t>
  </si>
  <si>
    <t>Viešinimo išlaidos</t>
  </si>
  <si>
    <t>Kitų prekių ir paslaugų įsigijimo išlaidos</t>
  </si>
  <si>
    <t>Palūkanos</t>
  </si>
  <si>
    <t xml:space="preserve">Palūkanos </t>
  </si>
  <si>
    <t>Palūkanos nerezidentams</t>
  </si>
  <si>
    <t>Asignavimų valdytojų sumokėtos palūkanos</t>
  </si>
  <si>
    <t>Finansų ministerijos sumokėtos palūkanos</t>
  </si>
  <si>
    <t xml:space="preserve">Savivaldybių sumokėtos palūkanos </t>
  </si>
  <si>
    <t xml:space="preserve">Palūkanos rezidentams, kitiems nei valdžios sektorius (tik už tiesioginę skolą) </t>
  </si>
  <si>
    <t>Palūkanos kitiems valdžios sektoriaus  subjektams</t>
  </si>
  <si>
    <t>Palūkanos kitiems valdžios sektoriaus subjektams</t>
  </si>
  <si>
    <t>Palūkanos valstybės biudžetui</t>
  </si>
  <si>
    <t>Palūkanos savivaldybių biudžetams</t>
  </si>
  <si>
    <t>Palūkanos nebiudžetiniams fondams</t>
  </si>
  <si>
    <t>Žemės nuoma</t>
  </si>
  <si>
    <t xml:space="preserve">Subsidijos </t>
  </si>
  <si>
    <t>Subsidijos iš biudžeto lėšų</t>
  </si>
  <si>
    <t>Subsidijos importui</t>
  </si>
  <si>
    <t>Subsidijos gaminiams</t>
  </si>
  <si>
    <t>Subsidijos gamybai</t>
  </si>
  <si>
    <t xml:space="preserve">Dotacijos </t>
  </si>
  <si>
    <t xml:space="preserve">Dotacijos užsienio valstybėms </t>
  </si>
  <si>
    <t>Dotacijos užsienio valstybėms einamiesiems tikslams</t>
  </si>
  <si>
    <t>Dotacijos užsienio valstybėms turtui įsigyti</t>
  </si>
  <si>
    <t xml:space="preserve">Dotacijos tarptautinėms organizacijoms </t>
  </si>
  <si>
    <t>Dotacijos tarptautinėms organizacijoms einamiesiems tikslams</t>
  </si>
  <si>
    <t xml:space="preserve">Dotacijos tarptautinėms organizacijoms turtui įsigyti </t>
  </si>
  <si>
    <t>Dotacijos kitiems valdžios sektoriaus subjektams</t>
  </si>
  <si>
    <t>Dotacijos kitiems valdžios sektoriaus subjektams einamiesiems tikslams</t>
  </si>
  <si>
    <t>Dotacijos savivaldybėms einamiesiems tikslams</t>
  </si>
  <si>
    <t>Dotacijos kitiems valdžios sektoriaus subjektams turtui įsigyti</t>
  </si>
  <si>
    <t>Dotacijos savivaldybėms turtui įsigyti</t>
  </si>
  <si>
    <t xml:space="preserve">Įmokos į Europos Sąjungos biudžetą </t>
  </si>
  <si>
    <t xml:space="preserve">Tradiciniai nuosavi ištekliai </t>
  </si>
  <si>
    <t xml:space="preserve">Muitai </t>
  </si>
  <si>
    <t xml:space="preserve">Cukraus sektoriaus mokesčiai </t>
  </si>
  <si>
    <t xml:space="preserve">Pridėtinės vertės mokesčio nuosavi ištekliai </t>
  </si>
  <si>
    <t xml:space="preserve">Bendrųjų nacionalinių pajamų nuosavi ištekliai </t>
  </si>
  <si>
    <t>Biudžeto disbalansų korekcija Jungtinės Karalystės naudai</t>
  </si>
  <si>
    <t>Su nuosavais ištekliais susijusios baudos, delspinigiai ir neigiamos palūkanos</t>
  </si>
  <si>
    <t>Su nuosavais ištekliais susijusios baudos,  delspinigiai ir neigiamos palūkanos</t>
  </si>
  <si>
    <t>Neperdirbto plastiko atliekų nuosavi ištekliai</t>
  </si>
  <si>
    <t xml:space="preserve">Socialinės išmokos (pašalpos) </t>
  </si>
  <si>
    <t>Socialinio draudimo išmokos (pašalpos)</t>
  </si>
  <si>
    <t>Socialinio draudimo išmokos pinigais</t>
  </si>
  <si>
    <t>Socialinio draudimo išmokos natūra</t>
  </si>
  <si>
    <t>Socialinė parama (socialinės paramos pašalpos) ir rentos</t>
  </si>
  <si>
    <t xml:space="preserve">Socialinė parama (socialinės paramos pašalpos) </t>
  </si>
  <si>
    <t xml:space="preserve">Socialinė parama pinigais </t>
  </si>
  <si>
    <t xml:space="preserve">Socialinė parama natūra </t>
  </si>
  <si>
    <t>Rentos</t>
  </si>
  <si>
    <t xml:space="preserve">Darbdavių socialinė parama </t>
  </si>
  <si>
    <t>Darbdavių socialinė parama pinigais</t>
  </si>
  <si>
    <t>Darbdavių socialinė parama natūra</t>
  </si>
  <si>
    <t>Kitos išlaidos</t>
  </si>
  <si>
    <t>Kitos išlaidos einamiesiems tikslams</t>
  </si>
  <si>
    <t xml:space="preserve">Stipendijoms </t>
  </si>
  <si>
    <t xml:space="preserve">Kitos išlaidos kitiems einamiesiems tikslams </t>
  </si>
  <si>
    <t>Valiutos kurso įtaka</t>
  </si>
  <si>
    <t>Kitos išlaidos turtui įsigyti</t>
  </si>
  <si>
    <t xml:space="preserve">Pervedamos Europos Sąjungos, kitos tarptautinės  finansinės paramos ir bendrojo finansavimo lėšos </t>
  </si>
  <si>
    <t>Subsidijos iš Europos Sąjungos ir kitos tarptautinės finansinės paramos lėšų (ne valdžios sektoriui)</t>
  </si>
  <si>
    <t xml:space="preserve">Pervedamos Europos Sąjungos, kitos  tarptautinės finansinės paramos ir bendrojo finansavimo lėšos </t>
  </si>
  <si>
    <t>Pervedamos Europos Sąjungos, kitos tarptautinės finansinės paramos ir bendrojo finansavimo lėšos einamiesiems tikslams</t>
  </si>
  <si>
    <t>Pervedamos Europos Sąjungos, kitos tarptautinės finansinės paramos ir bendrojo finansavimo lėšos einamiesiems tikslams savivaldybėms</t>
  </si>
  <si>
    <t>Pervedamos Europos Sąjungos, kitos tarptautinės finansinės paramos ir bendrojo finansavimo lėšos einamiesiems tikslams kitiems valdžios sektoriaus subjektams</t>
  </si>
  <si>
    <t>Pervedamos Europos Sąjungos, kitos tarptautinės finansinės paramos ir bendrojo finansavimo lėšos einamiesiems tikslams ne valdžios sektoriui</t>
  </si>
  <si>
    <t>Pervedamos Europos Sąjungos, kitos tarptautinės finansinės paramos ir bendrojo finansavimo lėšos investicijoms</t>
  </si>
  <si>
    <t xml:space="preserve">Pervedamos Europos Sąjungos, kitos tarptautinės finansinės paramos ir bendrojo finansavimo lėšos investicijoms </t>
  </si>
  <si>
    <t xml:space="preserve">Pervedamos Europos Sąjungos, kitos tarptautinės finansinės paramos ir bendrojo finansavimo lėšos investicijoms, skirtoms savivaldybėms </t>
  </si>
  <si>
    <t xml:space="preserve">Pervedamos Europos Sąjungos, kitos tarptautinės finansinės paramos ir bendrojo finansavimo lėšos investicijoms kitiems valdžios sektoriaus subjektams </t>
  </si>
  <si>
    <t>Pervedamos Europos Sąjungos, kitos tarptautinės finansinės paramos ir bendrojo finansavimo lėšos investicijoms ne valdžios sektoriui</t>
  </si>
  <si>
    <t xml:space="preserve"> MATERIALIOJO IR NEMATERIALIOJO TURTO ĮSIGIJIMO, FINANSINIO TURTO PADIDĖJIMO IR FINANSINIŲ ĮSIPAREIGOJIMŲ VYKDYMO IŠLAIDOS</t>
  </si>
  <si>
    <t>Materialiojo ir nematerialiojo turto įsigijimo išlaidos</t>
  </si>
  <si>
    <t>Ilgalaikio materialiojo turto kūrimo ir įsigijimo išlaidos</t>
  </si>
  <si>
    <t xml:space="preserve">Žemės įsigijimo išlaidos </t>
  </si>
  <si>
    <t>Pastatų ir statinių įsigijimo išlaidos</t>
  </si>
  <si>
    <t>Gyvenamųjų namų įsigijimo išlaidos</t>
  </si>
  <si>
    <t>Negyvenamųjų pastatų įsigijimo išlaidos</t>
  </si>
  <si>
    <t>Infrastruktūros ir kitų statinių įsigijimo išlaidos</t>
  </si>
  <si>
    <t>Mašinų ir įrenginių įsigijimo išlaidos</t>
  </si>
  <si>
    <t>Transporto priemonių įsigijimo išlaidos</t>
  </si>
  <si>
    <t>Kitų mašinų ir įrenginių įsigijimo išlaidos</t>
  </si>
  <si>
    <t>Ginklų ir karinės įrangos įsigijimo išlaidos</t>
  </si>
  <si>
    <t>Kompiuterinės techninės ir elektroninių ryšių įrangos įsigijimo išlaidos</t>
  </si>
  <si>
    <t>Kultūros ir kitų vertybių įsigijimo išlaidos</t>
  </si>
  <si>
    <t>Muziejinių vertybių įsigijimo išlaidos</t>
  </si>
  <si>
    <t>Antikvarinių ir kitų meno kūrinių įsigijimo išlaidos</t>
  </si>
  <si>
    <t>Kitų vertybių įsigijimo išlaidos</t>
  </si>
  <si>
    <t>Kito ilgalaikio materialiojo turto įsigijimo išlaidos</t>
  </si>
  <si>
    <t>Nematerialiojo turto kūrimo ir įsigijimo išlaidos</t>
  </si>
  <si>
    <r>
      <t>Kompiuterinės programinės įrangos ir kompiuterinės programinės įrangos licencijų</t>
    </r>
    <r>
      <rPr>
        <strike/>
        <sz val="10"/>
        <rFont val="Times New Roman Baltic"/>
        <charset val="186"/>
      </rPr>
      <t xml:space="preserve"> </t>
    </r>
    <r>
      <rPr>
        <sz val="10"/>
        <rFont val="Times New Roman Baltic"/>
        <charset val="186"/>
      </rPr>
      <t>įsigijimo išlaidos</t>
    </r>
  </si>
  <si>
    <t>Patentų įsigijimo išlaidos</t>
  </si>
  <si>
    <t>Literatūros ir meno kūrinių įsigijimo išlaidos</t>
  </si>
  <si>
    <t>Kito nematerialiojo turto įsigijimo išlaidos</t>
  </si>
  <si>
    <t>Atsargų kūrimo ir įsigijimo išlaidos</t>
  </si>
  <si>
    <t>Strateginių ir neliečiamųjų atsargų įsigijimo išlaidos</t>
  </si>
  <si>
    <t>Kitų atsargų įsigijimo išlaidos</t>
  </si>
  <si>
    <t>Žaliavų ir medžiagų įsigijimo išlaidos</t>
  </si>
  <si>
    <t>Nebaigtos gaminti produkcijos  įsigijimo išlaidos</t>
  </si>
  <si>
    <t>Pagamintos produkcijos įsigijimo išlaidos</t>
  </si>
  <si>
    <t>Prekių, skirtų parduoti arba perduoti, įsigijimo išlaidos</t>
  </si>
  <si>
    <t>Karinių atsargų įsigijimo išlaidos</t>
  </si>
  <si>
    <t>Ilgalaikio turto finansinės nuomos (lizingo)  išlaidos</t>
  </si>
  <si>
    <t>Ilgalaikio turto finansinės nuomos (lizingo) išlaidos</t>
  </si>
  <si>
    <r>
      <t>Biologinio turto ir žemės gelmių  išteklių</t>
    </r>
    <r>
      <rPr>
        <strike/>
        <sz val="10"/>
        <rFont val="Times New Roman Baltic"/>
        <charset val="186"/>
      </rPr>
      <t xml:space="preserve"> </t>
    </r>
    <r>
      <rPr>
        <sz val="10"/>
        <rFont val="Times New Roman Baltic"/>
        <charset val="186"/>
      </rPr>
      <t>įsigijimo išlaidos</t>
    </r>
  </si>
  <si>
    <t>Žemės gelmių išteklių įsigijimo išlaidos</t>
  </si>
  <si>
    <t>Gyvulių ir kitų gyvūnų įsigijimo išlaidos</t>
  </si>
  <si>
    <t>Miškų, vaismedžių ir kitų augalų įsigijimo išlaidos</t>
  </si>
  <si>
    <t>Finansinio turto padidėjimo išlaidos (finansinio turto įsigijimo ar investavimo išlaidos)</t>
  </si>
  <si>
    <t>Vidaus finansinio turto padidėjimo išlaidos (investavimo į rezidentus išlaidos)</t>
  </si>
  <si>
    <t xml:space="preserve">Grynieji pinigai ir indėliai </t>
  </si>
  <si>
    <t>Grynieji pinigai</t>
  </si>
  <si>
    <t xml:space="preserve">Pervedamieji indėliai </t>
  </si>
  <si>
    <t>Trumpalaikiai pervedamieji indėliai</t>
  </si>
  <si>
    <t>Ilgalaikiai pervedamieji indėliai</t>
  </si>
  <si>
    <t>Kiti indėliai</t>
  </si>
  <si>
    <t>Kiti trumpalaikiai indėliai</t>
  </si>
  <si>
    <t xml:space="preserve">Kiti ilgalaikiai indėliai </t>
  </si>
  <si>
    <r>
      <t>Vertybiniai popieriai (įsigyti iš rezidentų)</t>
    </r>
    <r>
      <rPr>
        <strike/>
        <sz val="10"/>
        <color rgb="FFFF0000"/>
        <rFont val="Times New Roman Baltic"/>
        <charset val="186"/>
      </rPr>
      <t/>
    </r>
  </si>
  <si>
    <t>Trumpalaikiai vertybiniai popieriai (įsigyti iš rezidentų)</t>
  </si>
  <si>
    <t>Ilgalaikiai vertybiniai popieriai (įsigyti iš rezidentų)</t>
  </si>
  <si>
    <t>Išvestinės finansinės priemonės (įsigytos iš rezidentų)</t>
  </si>
  <si>
    <t>Trumpalaikės išvestinės finansinės priemonės (įsigytos iš rezidentų)</t>
  </si>
  <si>
    <t>Ilgalaikės išvestinės finansinės priemonės (įsigytos iš rezidentų)</t>
  </si>
  <si>
    <t>Paskolos (suteiktos rezidentams)</t>
  </si>
  <si>
    <t>Trumpalaikės paskolos (suteiktos rezidentams)</t>
  </si>
  <si>
    <t>Ilgalaikės paskolos (suteiktos rezidentams)</t>
  </si>
  <si>
    <t xml:space="preserve">Akcijos (įsigytos iš rezidentų) </t>
  </si>
  <si>
    <t xml:space="preserve">Draudimo techniniai atidėjiniai </t>
  </si>
  <si>
    <t>Kitos mokėtinos sumos (suteiktos)</t>
  </si>
  <si>
    <t>Kitos trumpalaikės mokėtinos sumos (suteiktos)</t>
  </si>
  <si>
    <t>Kitos ilgalaikės mokėtinos sumos (suteiktos)</t>
  </si>
  <si>
    <t>Užsienio finansinio turto padidėjimo išlaidos (investavimo į nerezidentus išlaidos)</t>
  </si>
  <si>
    <t>Grynieji pinigai ir indėliai</t>
  </si>
  <si>
    <t>Pervedamieji indėliai</t>
  </si>
  <si>
    <t>Kiti ilgalaikiai indėliai</t>
  </si>
  <si>
    <t>Vertybiniai popieriai (įsigyti iš nerezidentų)</t>
  </si>
  <si>
    <t>Trumpalaikiai vertybiniai popieriai (įsigyti iš nerezidentų)</t>
  </si>
  <si>
    <t>Ilgalaikiai  vertybiniai popieriai (įsigyti iš nerezidentų)</t>
  </si>
  <si>
    <t>Išvestinės finansinės priemonės (įsigytos iš nerezidentų)</t>
  </si>
  <si>
    <t>Trumpalaikės išvestinės finansinės priemonės (įsigytos iš nerezidentų)</t>
  </si>
  <si>
    <t>Ilgalaikės išvestinės finansinės priemonės (įsigytos iš nerezidentų)</t>
  </si>
  <si>
    <t>Paskolos (suteiktos nerezidentams)</t>
  </si>
  <si>
    <t>Trumpalaikės paskolos (suteiktos nerezidentams)</t>
  </si>
  <si>
    <t>Ilgalaikės paskolos (suteiktos nerezidentams)</t>
  </si>
  <si>
    <t>Akcijos (įsigytos iš nerezidentų)</t>
  </si>
  <si>
    <t xml:space="preserve">Finansinių įsipareigojimų vykdymo išlaidos (grąžintos skolos) </t>
  </si>
  <si>
    <t>Vidaus finansinių įsipareigojimų vykdymo išlaidos (kreditoriams rezidentams grąžintos skolos)</t>
  </si>
  <si>
    <t>Vertybiniai popieriai (išpirkti)</t>
  </si>
  <si>
    <t>Trumpalaikiai vertybiniai popieriai (išpirkti)</t>
  </si>
  <si>
    <t>Ilgalaikiai vertybiniai popieriai (išpirkti)</t>
  </si>
  <si>
    <t>Išvestinės finansinės priemonės (grąžintos)</t>
  </si>
  <si>
    <t>Trumpalaikės išvestinės finansinės priemonės (grąžintos)</t>
  </si>
  <si>
    <t>Ilgalaikės išvestinės finansinės priemonės (grąžintos)</t>
  </si>
  <si>
    <t>Paskolos (grąžintos)</t>
  </si>
  <si>
    <t>Trumpalaikės paskolos (grąžintos)</t>
  </si>
  <si>
    <t>Ilgalaikės  paskolos (grąžintos)</t>
  </si>
  <si>
    <t xml:space="preserve">Akcijos  (išpirktos) </t>
  </si>
  <si>
    <r>
      <t>Akcijos (išpirktos)</t>
    </r>
    <r>
      <rPr>
        <sz val="10"/>
        <rFont val="Times New Roman Baltic"/>
        <family val="1"/>
        <charset val="186"/>
      </rPr>
      <t/>
    </r>
  </si>
  <si>
    <t>Kitos mokėtinos sumos (grąžintos)</t>
  </si>
  <si>
    <t>Kitos trumpalaikės mokėtinos sumos (grąžintos)</t>
  </si>
  <si>
    <t>Kitos ilgalaikės mokėtinos sumos (grąžintos)</t>
  </si>
  <si>
    <t>Užsienio finansinių įsipareigojimų vykdymo išlaidos (kreditoriams nerezidentams grąžintos skolos)</t>
  </si>
  <si>
    <t>Ilgalaikės paskolos (grąžintos)</t>
  </si>
  <si>
    <t xml:space="preserve">IŠ VISO </t>
  </si>
  <si>
    <t xml:space="preserve">      (įstaigos vadovo ar jo įgalioto asmens pareigų  pavadinimas)</t>
  </si>
  <si>
    <t>(vardas ir pavardė)</t>
  </si>
  <si>
    <r>
      <t xml:space="preserve">  (finansinę apskaitą tvarkančio asmens</t>
    </r>
    <r>
      <rPr>
        <b/>
        <sz val="8"/>
        <rFont val="Times New Roman Baltic"/>
        <charset val="186"/>
      </rPr>
      <t>,</t>
    </r>
    <r>
      <rPr>
        <sz val="8"/>
        <rFont val="Times New Roman Baltic"/>
        <charset val="186"/>
      </rPr>
      <t xml:space="preserve"> centralizuotos apskaitos įstaigos vadovo arba jo įgalioto asmens pareigų pavadinimas)</t>
    </r>
  </si>
  <si>
    <t>__________________________</t>
  </si>
  <si>
    <t>PATVIRTINTA
Lietuvos Respublikos finansų ministro 
2011 m. rugpjūčio 8 d. įsakymu Nr. 1K-265 
(Lietuvos Respublikos finansų ministro 
2024 m. lapkričio 28 d. įsakymo Nr. 1K-383
redakcija)</t>
  </si>
  <si>
    <t>(dokumento sudarytojo (įstaigos) pavadinimas)</t>
  </si>
  <si>
    <t xml:space="preserve">INFORMACIJA APIE IŠLAIDŲ DARBO UŽMOKESČIUI  PLANO VYKDYMĄ 2025 M. RUGSĖJO 30 D. </t>
  </si>
  <si>
    <t xml:space="preserve">  </t>
  </si>
  <si>
    <t xml:space="preserve">2025-    Nr. </t>
  </si>
  <si>
    <t>(data ir numeris)</t>
  </si>
  <si>
    <t>(sudarymo vieta)</t>
  </si>
  <si>
    <t>Valstybės  biudžeto asignavimų valdytojo, ministrų valdymo sričių įstaigos, vykdančios atitinkamo valstybės biudžeto asignavimų valdytojo programas ir turinčios biudžetinių įstaigų, kurių savininko teises ir pareigas jos įgyvendina, pavadinimas:</t>
  </si>
  <si>
    <t>(AV kodas)</t>
  </si>
  <si>
    <t>Privalomąjį sveikatos draudimų vykdančių institucijų veiklos išlaidos</t>
  </si>
  <si>
    <t>Finansavimo šaltinis:</t>
  </si>
  <si>
    <t>PSDF</t>
  </si>
  <si>
    <t>Ministerijos</t>
  </si>
  <si>
    <t>Departamentas</t>
  </si>
  <si>
    <t>Biudžetinė įstaiga</t>
  </si>
  <si>
    <t>Pareigybės</t>
  </si>
  <si>
    <t>Įvykdyta, 
pareigy-
bių skai-
čius, vnt.</t>
  </si>
  <si>
    <t>Įvykdyta, Eur</t>
  </si>
  <si>
    <t xml:space="preserve">pareigi-
nėms 
algoms
ar tarnybi-
niam 
atlygini-
mui </t>
  </si>
  <si>
    <t>prie-
dams 
už 
tarny-
bos 
stažą</t>
  </si>
  <si>
    <t>kitiems
priedams</t>
  </si>
  <si>
    <t xml:space="preserve">kinta-
majai 
daliai </t>
  </si>
  <si>
    <t>priemo-
koms</t>
  </si>
  <si>
    <t>už darbą poilsio ir švenčių dienomis, nakties bei viršvalandinį darbą, budėjimą ir esant nukrypimui nuo normalių darbo sąlygų</t>
  </si>
  <si>
    <t xml:space="preserve">kitoms išmo-
koms
</t>
  </si>
  <si>
    <t>iš viso</t>
  </si>
  <si>
    <t>x</t>
  </si>
  <si>
    <t>2. Teisėjai</t>
  </si>
  <si>
    <t>3. Valstybės tarnautojai</t>
  </si>
  <si>
    <t>iš jų statutiniai</t>
  </si>
  <si>
    <t>4. Kariai</t>
  </si>
  <si>
    <t xml:space="preserve">iš jų: </t>
  </si>
  <si>
    <t xml:space="preserve">       profesinės karo tarnybos kariai</t>
  </si>
  <si>
    <t xml:space="preserve">       kariai savanoriai ir kiti savanoriškos
       nenuolatinės karo tarnybos kariai, aktyviojo
       kariuomenės personalo rezervo kariai ir rezervo 
       kariai</t>
  </si>
  <si>
    <t>5. Darbuotojai, dirbantys pagal darbo sutartis</t>
  </si>
  <si>
    <t xml:space="preserve">       pedagogai (pedagoginės normos)</t>
  </si>
  <si>
    <t xml:space="preserve">      darbuotojai, kurių pareigybės
      priskiriamos D lygiui (darbininkai)</t>
  </si>
  <si>
    <t>6. Mokslo ir studijų institucijų vadovai, jų pavaduotojai, akademinių padalinių vadovai, jų pavaduotojai, moksliniai sekretoriai, mokslo darbuotojai, kiti tyrėjai ir dėstytojai</t>
  </si>
  <si>
    <t>7. Komisijų nariai, valstybės įmonių, viešųjų įstaigų darbuotojai</t>
  </si>
  <si>
    <t>8. Medicinos rezidentai</t>
  </si>
  <si>
    <t>9. Iš viso (1 + 2 + 3 + 4 + 5 + 6 + 7 + 8)</t>
  </si>
  <si>
    <t>10. Darbo užmokestis pinigais, iš viso (1 + 2 + 3 + 4 + 5 + 6 + 7 + 8)</t>
  </si>
  <si>
    <t>11. Pajamos natūra</t>
  </si>
  <si>
    <t xml:space="preserve">Iš viso (10 + 11) </t>
  </si>
  <si>
    <t>Institucijų (įstaigų) skaičius</t>
  </si>
  <si>
    <t>1. Lentelės 1 skiltis pildoma pagal Lietuvos Respublikos valstybės pareigūnų darbo užmokesčio, Lietuvos Respublikos valstybės politikų darbo užmokesčio ir kitus valstybės pareigūnų veiklą reglamentuojančius įstatymus ir pagal Lietuvos Respublikos biudžetinių įstaigų darbuotojų darbo apmokėjimo ir komisijų narių atlygio už darbą įstatymo 12 straipsnį.</t>
  </si>
  <si>
    <t>2. Lentelės 2 skiltis pildoma pagal Lietuvos Respublikos teisėjų atlyginimų įstatymą.</t>
  </si>
  <si>
    <t>3. Lentelės 3 skiltis pildoma pagal Lietuvos Respublikos valstybės tarnybos ir kitus statutinių valstybės tarnautojų veiklą reglamentuojančius įstatymus.</t>
  </si>
  <si>
    <t>4. Lentelės 4 skiltis pildoma pagal  Lietuvos Respublikos krašto apsaugos sistemos organizavimo ir karo tarnybos įstatymą.</t>
  </si>
  <si>
    <t>5. Lentelės 5 skiltis pildoma pagal Lietuvos Respublikos biudžetinių įstaigų darbuotojų darbo apmokėjimo ir komisijų narių atlygio už darbą įstatymą.</t>
  </si>
  <si>
    <t>6. Lentelės 6 skiltis pildoma pagal Lietuvos Respublikos mokslo ir studijų įstatymą.</t>
  </si>
  <si>
    <t>7. Lentelės 7 skiltis pildoma pagal Lietuvos Respublikos biudžetinių įstaigų darbo apmokėjimo ir komisijų narių atlygio už darbą įstatymo 12 straipsnį, taip pat  nurodomos valstybės įmonių, viešųjų įstaigų, kurių darbo užmokestis yra įskaičiuotas į asignavimų valdytojo darbo užmokesčio fondą, pareigybės ir darbo užmokestis.</t>
  </si>
  <si>
    <t>8. Lentelės 8 skiltis pildoma pagal Lietuvos Respublikos medicinos praktikos įstatymą.</t>
  </si>
  <si>
    <t>9. Lietuvos Respublikos krašto apsaugos ministerija atskirai pildo ir Lietuvos kariuomenės suvestinę darbo užmokesčio formą.</t>
  </si>
  <si>
    <t>PSDF BIUDŽETO IŠLAIDOS DARBO UŽMOKESČIUI IR</t>
  </si>
  <si>
    <t xml:space="preserve">ĮMOKOMS SOCIALINIAM DRAUDIMUI 2025 M.  RUGSĖJO 30 D. </t>
  </si>
  <si>
    <t>Valstybinė ligonių kasa už I-III ketvirčius</t>
  </si>
  <si>
    <t>Teritorinės ligonių kasos už 2025 I pusmetį</t>
  </si>
  <si>
    <t>Įmokos socialiniam draudimui</t>
  </si>
  <si>
    <t>Ekonomikos departamento Finansų ir apskaitos skyriaus vedėjas                                                         Visvaldas Vilkas</t>
  </si>
  <si>
    <r>
      <t>1. Valstybės politikai ir valstybės pareigūnai</t>
    </r>
    <r>
      <rPr>
        <vertAlign val="superscript"/>
        <sz val="10"/>
        <rFont val="Aptos"/>
        <family val="2"/>
      </rPr>
      <t xml:space="preserve"> </t>
    </r>
  </si>
  <si>
    <r>
      <rPr>
        <b/>
        <sz val="9"/>
        <rFont val="Aptos"/>
        <family val="2"/>
      </rPr>
      <t>Pastabos</t>
    </r>
    <r>
      <rPr>
        <sz val="9"/>
        <rFont val="Aptos"/>
        <family val="2"/>
      </rPr>
      <t>:</t>
    </r>
  </si>
  <si>
    <t>duomenys pateikiami su 2025 m. I pusmečio teritorinių ligonių kasų duomenimis</t>
  </si>
  <si>
    <t xml:space="preserve">06 straipsnio 10 skiltyje „asignavimai“ įtrauktas gautų ir laikinai nepanaudotų valstybės biudžeto asignavimų likutis VLK banko sąskaitoje 1 475 179.54 Eur.   </t>
  </si>
  <si>
    <t xml:space="preserve">Pastabos: </t>
  </si>
  <si>
    <t>**iš jo investuota iki ataskaitinio laikotarpio pabaigos suma: 101 428 725,45 Eur.</t>
  </si>
  <si>
    <t xml:space="preserve">Lietuvos Respublikos valstybės biudžeto asignavimai, iš jų: </t>
  </si>
  <si>
    <t>Laikinai nepaskirstytos (nepervedamos) lėšos</t>
  </si>
  <si>
    <t>dantų protezavimo paslaugoms</t>
  </si>
  <si>
    <t>skubiai konsultacinei  pagalbai (nesąmatinis finansavimas)</t>
  </si>
  <si>
    <t>paslaugoms, skirtoms gyvybei gelbėti ir išsaugoti</t>
  </si>
  <si>
    <t>Iš viso išlaidų,
iš jų:</t>
  </si>
  <si>
    <t>Sveikatos programoms ir kitoms sveikatos draudimo išlaidoms</t>
  </si>
  <si>
    <t xml:space="preserve">Skirtumas
(tūkst. 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</si>
</sst>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L_t_-;\-* #,##0.00\ _L_t_-;_-* &quot;-&quot;??\ _L_t_-;_-@_-"/>
    <numFmt numFmtId="165" formatCode="0.0"/>
    <numFmt numFmtId="166" formatCode="#,##0.0"/>
  </numFmts>
  <fonts count="107">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12"/>
      <name val="Times New Roman"/>
      <family val="1"/>
      <charset val="186"/>
    </font>
    <font>
      <sz val="10"/>
      <name val="Arial"/>
      <family val="2"/>
      <charset val="186"/>
    </font>
    <font>
      <sz val="11"/>
      <color indexed="8"/>
      <name val="Calibri"/>
      <family val="2"/>
    </font>
    <font>
      <sz val="10"/>
      <name val="Times New Roman"/>
      <family val="1"/>
      <charset val="186"/>
    </font>
    <font>
      <sz val="10"/>
      <name val="HelveticaLT"/>
      <charset val="186"/>
    </font>
    <font>
      <sz val="10"/>
      <name val="Times New Roman"/>
      <family val="1"/>
      <charset val="186"/>
    </font>
    <font>
      <sz val="10"/>
      <name val="Times New Roman"/>
      <family val="1"/>
      <charset val="186"/>
    </font>
    <font>
      <sz val="10"/>
      <name val="Arial"/>
      <family val="2"/>
      <charset val="186"/>
    </font>
    <font>
      <sz val="10"/>
      <name val="Times New Roman"/>
      <family val="1"/>
      <charset val="186"/>
    </font>
    <font>
      <sz val="10"/>
      <name val="Times New Roman"/>
      <family val="1"/>
      <charset val="186"/>
    </font>
    <font>
      <sz val="10"/>
      <name val="Times New Roman"/>
      <family val="1"/>
      <charset val="186"/>
    </font>
    <font>
      <sz val="10"/>
      <name val="Times New Roman"/>
      <family val="1"/>
      <charset val="186"/>
    </font>
    <font>
      <sz val="11"/>
      <color theme="1"/>
      <name val="Calibri"/>
      <family val="2"/>
      <charset val="186"/>
      <scheme val="minor"/>
    </font>
    <font>
      <sz val="11"/>
      <color theme="1"/>
      <name val="Aptos"/>
      <family val="2"/>
    </font>
    <font>
      <b/>
      <sz val="12"/>
      <color theme="1"/>
      <name val="Aptos"/>
      <family val="2"/>
    </font>
    <font>
      <b/>
      <sz val="11"/>
      <color theme="1"/>
      <name val="Aptos"/>
      <family val="2"/>
    </font>
    <font>
      <sz val="11"/>
      <color theme="1"/>
      <name val="Calibri"/>
      <family val="2"/>
      <scheme val="minor"/>
    </font>
    <font>
      <sz val="11"/>
      <color theme="1"/>
      <name val="Calibri"/>
      <family val="2"/>
      <charset val="186"/>
    </font>
    <font>
      <sz val="10"/>
      <name val="Arial Baltic"/>
      <charset val="186"/>
    </font>
    <font>
      <sz val="12"/>
      <name val="Aptos"/>
      <family val="2"/>
    </font>
    <font>
      <b/>
      <sz val="12"/>
      <name val="Aptos"/>
      <family val="2"/>
    </font>
    <font>
      <sz val="12"/>
      <color theme="1"/>
      <name val="Aptos"/>
      <family val="2"/>
    </font>
    <font>
      <sz val="12"/>
      <color rgb="FFFF0000"/>
      <name val="Aptos"/>
      <family val="2"/>
    </font>
    <font>
      <i/>
      <sz val="12"/>
      <name val="Aptos"/>
      <family val="2"/>
    </font>
    <font>
      <b/>
      <i/>
      <sz val="12"/>
      <name val="Aptos"/>
      <family val="2"/>
    </font>
    <font>
      <i/>
      <u/>
      <sz val="12"/>
      <name val="Aptos"/>
      <family val="2"/>
    </font>
    <font>
      <sz val="12"/>
      <name val="Times New Roman Baltic"/>
      <family val="1"/>
      <charset val="186"/>
    </font>
    <font>
      <sz val="10"/>
      <name val="Times New Roman"/>
      <family val="1"/>
      <charset val="186"/>
    </font>
    <font>
      <sz val="10"/>
      <name val="TimesLT"/>
      <charset val="186"/>
    </font>
    <font>
      <sz val="11"/>
      <color theme="1"/>
      <name val="Calibri"/>
      <family val="2"/>
      <charset val="186"/>
      <scheme val="minor"/>
    </font>
    <font>
      <sz val="11"/>
      <name val="Aptos"/>
      <family val="2"/>
    </font>
    <font>
      <sz val="10"/>
      <name val="Times New Roman Baltic"/>
      <family val="1"/>
      <charset val="186"/>
    </font>
    <font>
      <sz val="10"/>
      <name val="Aptos"/>
      <family val="2"/>
    </font>
    <font>
      <vertAlign val="superscript"/>
      <sz val="10"/>
      <name val="Aptos"/>
      <family val="2"/>
    </font>
    <font>
      <vertAlign val="superscript"/>
      <sz val="12"/>
      <name val="Aptos"/>
      <family val="2"/>
    </font>
    <font>
      <sz val="8"/>
      <name val="Aptos"/>
      <family val="2"/>
    </font>
    <font>
      <strike/>
      <sz val="10"/>
      <color rgb="FFFF0000"/>
      <name val="Times New Roman Baltic"/>
      <charset val="186"/>
    </font>
    <font>
      <b/>
      <sz val="11"/>
      <name val="Aptos"/>
      <family val="2"/>
    </font>
    <font>
      <b/>
      <sz val="12"/>
      <color rgb="FFFF0000"/>
      <name val="Aptos"/>
      <family val="2"/>
    </font>
    <font>
      <sz val="12"/>
      <color indexed="8"/>
      <name val="Aptos"/>
      <family val="2"/>
    </font>
    <font>
      <b/>
      <sz val="12"/>
      <color indexed="8"/>
      <name val="Aptos"/>
      <family val="2"/>
    </font>
    <font>
      <sz val="11"/>
      <color indexed="8"/>
      <name val="Aptos"/>
      <family val="2"/>
    </font>
    <font>
      <sz val="11"/>
      <color rgb="FFFF0000"/>
      <name val="Aptos"/>
      <family val="2"/>
    </font>
    <font>
      <sz val="9"/>
      <name val="Aptos"/>
      <family val="2"/>
    </font>
    <font>
      <sz val="12"/>
      <color rgb="FFFF0000"/>
      <name val="Times New Roman"/>
      <family val="1"/>
      <charset val="186"/>
    </font>
    <font>
      <sz val="8"/>
      <name val="Arial"/>
      <family val="2"/>
      <charset val="186"/>
    </font>
    <font>
      <sz val="11"/>
      <color rgb="FFFF0000"/>
      <name val="Times New Roman"/>
      <family val="1"/>
      <charset val="186"/>
    </font>
    <font>
      <sz val="11"/>
      <color rgb="FFFF0000"/>
      <name val="Times New Roman Baltic"/>
      <charset val="186"/>
    </font>
    <font>
      <b/>
      <sz val="12"/>
      <color rgb="FFFF0000"/>
      <name val="Times New Roman"/>
      <family val="1"/>
      <charset val="186"/>
    </font>
    <font>
      <b/>
      <sz val="12"/>
      <name val="Times New Roman"/>
      <family val="1"/>
      <charset val="186"/>
    </font>
    <font>
      <u/>
      <sz val="12"/>
      <color rgb="FFFF0000"/>
      <name val="Times New Roman"/>
      <family val="1"/>
      <charset val="186"/>
    </font>
    <font>
      <sz val="8"/>
      <name val="Times New Roman"/>
      <family val="1"/>
      <charset val="186"/>
    </font>
    <font>
      <sz val="8"/>
      <name val="Times New Roman Baltic"/>
      <family val="1"/>
      <charset val="186"/>
    </font>
    <font>
      <sz val="8"/>
      <name val="Times New Roman Baltic"/>
      <charset val="186"/>
    </font>
    <font>
      <strike/>
      <sz val="8"/>
      <name val="Times New Roman Baltic"/>
      <charset val="186"/>
    </font>
    <font>
      <b/>
      <strike/>
      <sz val="8"/>
      <name val="Times New Roman Baltic"/>
    </font>
    <font>
      <b/>
      <sz val="12"/>
      <name val="Times New Roman Baltic"/>
      <family val="1"/>
      <charset val="186"/>
    </font>
    <font>
      <b/>
      <sz val="8"/>
      <name val="Times New Roman Baltic"/>
      <family val="1"/>
      <charset val="186"/>
    </font>
    <font>
      <b/>
      <sz val="12"/>
      <name val="Arial"/>
      <family val="2"/>
      <charset val="186"/>
    </font>
    <font>
      <b/>
      <sz val="11"/>
      <name val="Times New Roman Baltic"/>
      <charset val="186"/>
    </font>
    <font>
      <u/>
      <sz val="10"/>
      <name val="Times New Roman Baltic"/>
      <family val="1"/>
      <charset val="186"/>
    </font>
    <font>
      <b/>
      <sz val="11"/>
      <name val="Times New Roman Baltic"/>
      <family val="1"/>
      <charset val="186"/>
    </font>
    <font>
      <sz val="10"/>
      <name val="Times New Roman Baltic"/>
      <charset val="186"/>
    </font>
    <font>
      <sz val="9"/>
      <name val="Times New Roman Baltic"/>
      <family val="1"/>
      <charset val="186"/>
    </font>
    <font>
      <b/>
      <sz val="9"/>
      <name val="Times New Roman Baltic"/>
      <family val="1"/>
      <charset val="186"/>
    </font>
    <font>
      <sz val="9"/>
      <name val="Arial"/>
      <family val="2"/>
      <charset val="186"/>
    </font>
    <font>
      <b/>
      <sz val="9"/>
      <name val="Times New Roman Baltic"/>
      <charset val="186"/>
    </font>
    <font>
      <b/>
      <sz val="9"/>
      <name val="Times New Roman"/>
      <family val="1"/>
      <charset val="186"/>
    </font>
    <font>
      <b/>
      <sz val="9"/>
      <name val="Arial"/>
      <family val="2"/>
      <charset val="186"/>
    </font>
    <font>
      <b/>
      <sz val="10"/>
      <name val="Times New Roman Baltic"/>
      <charset val="186"/>
    </font>
    <font>
      <strike/>
      <sz val="10"/>
      <name val="Times New Roman Baltic"/>
      <charset val="186"/>
    </font>
    <font>
      <i/>
      <sz val="10"/>
      <name val="Times New Roman Baltic"/>
      <charset val="186"/>
    </font>
    <font>
      <b/>
      <sz val="8"/>
      <name val="Times New Roman Baltic"/>
      <charset val="186"/>
    </font>
    <font>
      <vertAlign val="superscript"/>
      <sz val="12"/>
      <name val="Times New Roman"/>
      <family val="1"/>
      <charset val="186"/>
    </font>
    <font>
      <b/>
      <i/>
      <sz val="12"/>
      <name val="Times New Roman"/>
      <family val="1"/>
      <charset val="186"/>
    </font>
    <font>
      <b/>
      <i/>
      <u/>
      <sz val="12"/>
      <name val="Times New Roman"/>
      <family val="1"/>
      <charset val="186"/>
    </font>
    <font>
      <b/>
      <sz val="14"/>
      <name val="Times New Roman"/>
      <family val="1"/>
      <charset val="186"/>
    </font>
    <font>
      <b/>
      <sz val="12"/>
      <color rgb="FF000000"/>
      <name val="Aptos"/>
      <family val="2"/>
    </font>
    <font>
      <b/>
      <sz val="9"/>
      <name val="Aptos"/>
      <family val="2"/>
    </font>
    <font>
      <b/>
      <sz val="10"/>
      <name val="Aptos"/>
      <family val="2"/>
    </font>
    <font>
      <vertAlign val="superscript"/>
      <sz val="9"/>
      <name val="Aptos"/>
      <family val="2"/>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indexed="41"/>
        <bgColor indexed="64"/>
      </patternFill>
    </fill>
    <fill>
      <patternFill patternType="solid">
        <fgColor rgb="FFC0000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medium">
        <color auto="1"/>
      </top>
      <bottom style="medium">
        <color auto="1"/>
      </bottom>
      <diagonal/>
    </border>
    <border>
      <left/>
      <right style="thin">
        <color auto="1"/>
      </right>
      <top/>
      <bottom/>
      <diagonal/>
    </border>
    <border>
      <left/>
      <right/>
      <top/>
      <bottom style="thin">
        <color auto="1"/>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hair">
        <color indexed="64"/>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right style="hair">
        <color indexed="64"/>
      </right>
      <top/>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auto="1"/>
      </left>
      <right style="thin">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hair">
        <color indexed="64"/>
      </left>
      <right style="hair">
        <color indexed="64"/>
      </right>
      <top style="hair">
        <color indexed="64"/>
      </top>
      <bottom style="dashed">
        <color indexed="64"/>
      </bottom>
      <diagonal/>
    </border>
    <border>
      <left/>
      <right style="hair">
        <color indexed="64"/>
      </right>
      <top style="hair">
        <color indexed="64"/>
      </top>
      <bottom style="dashed">
        <color indexed="64"/>
      </bottom>
      <diagonal/>
    </border>
    <border>
      <left style="hair">
        <color indexed="64"/>
      </left>
      <right style="hair">
        <color indexed="64"/>
      </right>
      <top style="dashed">
        <color indexed="64"/>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81">
    <xf numFmtId="0" fontId="0" fillId="0" borderId="0"/>
    <xf numFmtId="0" fontId="25" fillId="0" borderId="0"/>
    <xf numFmtId="0" fontId="24" fillId="0" borderId="0"/>
    <xf numFmtId="0" fontId="27" fillId="0" borderId="0"/>
    <xf numFmtId="0" fontId="28" fillId="0" borderId="0"/>
    <xf numFmtId="0" fontId="27" fillId="0" borderId="0"/>
    <xf numFmtId="0" fontId="29" fillId="0" borderId="0"/>
    <xf numFmtId="0" fontId="23" fillId="0" borderId="0"/>
    <xf numFmtId="0" fontId="30" fillId="0" borderId="0"/>
    <xf numFmtId="0" fontId="27" fillId="0" borderId="0"/>
    <xf numFmtId="0" fontId="27" fillId="0" borderId="0"/>
    <xf numFmtId="164" fontId="28" fillId="0" borderId="0" applyFont="0" applyFill="0" applyBorder="0" applyAlignment="0" applyProtection="0"/>
    <xf numFmtId="0" fontId="31" fillId="0" borderId="0"/>
    <xf numFmtId="0" fontId="22" fillId="0" borderId="0"/>
    <xf numFmtId="0" fontId="21" fillId="0" borderId="0"/>
    <xf numFmtId="0" fontId="25" fillId="0" borderId="0"/>
    <xf numFmtId="0" fontId="32" fillId="0" borderId="0"/>
    <xf numFmtId="0" fontId="25" fillId="0" borderId="0"/>
    <xf numFmtId="0" fontId="33" fillId="0" borderId="0"/>
    <xf numFmtId="0" fontId="34" fillId="0" borderId="0"/>
    <xf numFmtId="0" fontId="20" fillId="0" borderId="0"/>
    <xf numFmtId="0" fontId="19" fillId="0" borderId="0"/>
    <xf numFmtId="0" fontId="25" fillId="0" borderId="0"/>
    <xf numFmtId="0" fontId="18" fillId="0" borderId="0"/>
    <xf numFmtId="0" fontId="17" fillId="0" borderId="0"/>
    <xf numFmtId="0" fontId="35" fillId="0" borderId="0"/>
    <xf numFmtId="0" fontId="16" fillId="0" borderId="0"/>
    <xf numFmtId="0" fontId="15" fillId="0" borderId="0"/>
    <xf numFmtId="0" fontId="36" fillId="0" borderId="0"/>
    <xf numFmtId="0" fontId="14" fillId="0" borderId="0"/>
    <xf numFmtId="0" fontId="13" fillId="0" borderId="0"/>
    <xf numFmtId="0" fontId="37" fillId="0" borderId="0"/>
    <xf numFmtId="0" fontId="12" fillId="0" borderId="0"/>
    <xf numFmtId="0" fontId="11" fillId="0" borderId="0"/>
    <xf numFmtId="0" fontId="29" fillId="0" borderId="0"/>
    <xf numFmtId="0" fontId="26" fillId="0" borderId="0"/>
    <xf numFmtId="0" fontId="38" fillId="0" borderId="0"/>
    <xf numFmtId="0" fontId="11" fillId="0" borderId="0"/>
    <xf numFmtId="0" fontId="10" fillId="0" borderId="0"/>
    <xf numFmtId="0" fontId="10" fillId="0" borderId="0"/>
    <xf numFmtId="0" fontId="10" fillId="0" borderId="0"/>
    <xf numFmtId="0" fontId="9" fillId="0" borderId="0"/>
    <xf numFmtId="0" fontId="9"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44" fillId="0" borderId="0"/>
    <xf numFmtId="0" fontId="6" fillId="0" borderId="0"/>
    <xf numFmtId="0" fontId="29" fillId="0" borderId="0"/>
    <xf numFmtId="0" fontId="6" fillId="0" borderId="0"/>
    <xf numFmtId="43" fontId="42" fillId="0" borderId="0" applyFont="0" applyFill="0" applyBorder="0" applyAlignment="0" applyProtection="0"/>
    <xf numFmtId="0" fontId="42" fillId="0" borderId="0"/>
    <xf numFmtId="0" fontId="53" fillId="0" borderId="0"/>
    <xf numFmtId="0" fontId="6" fillId="0" borderId="0"/>
    <xf numFmtId="0" fontId="5" fillId="0" borderId="0"/>
    <xf numFmtId="0" fontId="5" fillId="0" borderId="0"/>
    <xf numFmtId="0" fontId="29" fillId="0" borderId="0"/>
    <xf numFmtId="43" fontId="5" fillId="0" borderId="0" applyFont="0" applyFill="0" applyBorder="0" applyAlignment="0" applyProtection="0"/>
    <xf numFmtId="0" fontId="4" fillId="0" borderId="0"/>
    <xf numFmtId="43" fontId="4" fillId="0" borderId="0" applyFont="0" applyFill="0" applyBorder="0" applyAlignment="0" applyProtection="0"/>
    <xf numFmtId="0" fontId="3" fillId="0" borderId="0"/>
    <xf numFmtId="0" fontId="3" fillId="0" borderId="0"/>
    <xf numFmtId="0" fontId="55" fillId="0" borderId="0"/>
    <xf numFmtId="0" fontId="2" fillId="0" borderId="0"/>
    <xf numFmtId="43" fontId="2" fillId="0" borderId="0" applyFont="0" applyFill="0" applyBorder="0" applyAlignment="0" applyProtection="0"/>
    <xf numFmtId="0" fontId="2" fillId="0" borderId="0"/>
    <xf numFmtId="0" fontId="54" fillId="0" borderId="0"/>
    <xf numFmtId="0" fontId="2" fillId="0" borderId="0"/>
    <xf numFmtId="0" fontId="54" fillId="0" borderId="0"/>
    <xf numFmtId="0" fontId="2" fillId="0" borderId="0"/>
    <xf numFmtId="0" fontId="25" fillId="0" borderId="0"/>
    <xf numFmtId="43" fontId="42" fillId="0" borderId="0" applyFont="0" applyFill="0" applyBorder="0" applyAlignment="0" applyProtection="0"/>
  </cellStyleXfs>
  <cellXfs count="722">
    <xf numFmtId="0" fontId="0" fillId="0" borderId="0" xfId="0"/>
    <xf numFmtId="0" fontId="39" fillId="0" borderId="0" xfId="0" applyFont="1" applyAlignment="1">
      <alignment wrapText="1"/>
    </xf>
    <xf numFmtId="0" fontId="39" fillId="0" borderId="0" xfId="0" applyFont="1"/>
    <xf numFmtId="0" fontId="41" fillId="0" borderId="0" xfId="0" applyFont="1"/>
    <xf numFmtId="0" fontId="45" fillId="0" borderId="0" xfId="55" applyFont="1"/>
    <xf numFmtId="0" fontId="46" fillId="0" borderId="0" xfId="55" applyFont="1" applyAlignment="1">
      <alignment horizontal="center"/>
    </xf>
    <xf numFmtId="3" fontId="45" fillId="0" borderId="0" xfId="55" applyNumberFormat="1" applyFont="1"/>
    <xf numFmtId="0" fontId="45" fillId="0" borderId="0" xfId="1" applyFont="1"/>
    <xf numFmtId="0" fontId="45" fillId="0" borderId="0" xfId="8" applyFont="1"/>
    <xf numFmtId="3" fontId="46" fillId="0" borderId="0" xfId="55" applyNumberFormat="1" applyFont="1" applyAlignment="1">
      <alignment horizontal="right"/>
    </xf>
    <xf numFmtId="3" fontId="46" fillId="0" borderId="0" xfId="55" applyNumberFormat="1" applyFont="1"/>
    <xf numFmtId="0" fontId="46" fillId="0" borderId="0" xfId="55" applyFont="1" applyAlignment="1">
      <alignment horizontal="left" wrapText="1"/>
    </xf>
    <xf numFmtId="0" fontId="45" fillId="0" borderId="0" xfId="55" applyFont="1" applyAlignment="1">
      <alignment horizontal="left" wrapText="1"/>
    </xf>
    <xf numFmtId="3" fontId="45" fillId="0" borderId="0" xfId="55" applyNumberFormat="1" applyFont="1" applyAlignment="1">
      <alignment horizontal="right"/>
    </xf>
    <xf numFmtId="0" fontId="45" fillId="0" borderId="0" xfId="55" applyFont="1" applyAlignment="1">
      <alignment horizontal="right" vertical="top" wrapText="1"/>
    </xf>
    <xf numFmtId="3" fontId="48" fillId="0" borderId="0" xfId="55" applyNumberFormat="1" applyFont="1"/>
    <xf numFmtId="3" fontId="45" fillId="0" borderId="1" xfId="55" applyNumberFormat="1" applyFont="1" applyBorder="1"/>
    <xf numFmtId="3" fontId="46" fillId="0" borderId="1" xfId="55" applyNumberFormat="1" applyFont="1" applyBorder="1" applyAlignment="1">
      <alignment horizontal="right"/>
    </xf>
    <xf numFmtId="3" fontId="46" fillId="0" borderId="1" xfId="55" applyNumberFormat="1" applyFont="1" applyBorder="1"/>
    <xf numFmtId="0" fontId="49" fillId="0" borderId="0" xfId="55" applyFont="1" applyAlignment="1">
      <alignment horizontal="center" vertical="center" wrapText="1"/>
    </xf>
    <xf numFmtId="0" fontId="49" fillId="0" borderId="1" xfId="55" applyFont="1" applyBorder="1" applyAlignment="1">
      <alignment horizontal="center" vertical="center" wrapText="1"/>
    </xf>
    <xf numFmtId="49" fontId="49" fillId="0" borderId="1" xfId="55" applyNumberFormat="1" applyFont="1" applyBorder="1" applyAlignment="1">
      <alignment horizontal="center" vertical="center" wrapText="1"/>
    </xf>
    <xf numFmtId="49" fontId="45" fillId="0" borderId="1" xfId="55" applyNumberFormat="1" applyFont="1" applyBorder="1" applyAlignment="1">
      <alignment horizontal="center" vertical="center"/>
    </xf>
    <xf numFmtId="0" fontId="46" fillId="0" borderId="0" xfId="55" applyFont="1" applyAlignment="1">
      <alignment horizontal="center" vertical="center" wrapText="1"/>
    </xf>
    <xf numFmtId="3" fontId="50" fillId="0" borderId="0" xfId="55" applyNumberFormat="1" applyFont="1" applyAlignment="1">
      <alignment horizontal="right" vertical="center" wrapText="1"/>
    </xf>
    <xf numFmtId="3" fontId="46" fillId="0" borderId="7" xfId="55" applyNumberFormat="1" applyFont="1" applyBorder="1" applyAlignment="1">
      <alignment horizontal="right" vertical="center"/>
    </xf>
    <xf numFmtId="49" fontId="46" fillId="0" borderId="7" xfId="55" applyNumberFormat="1" applyFont="1" applyBorder="1" applyAlignment="1">
      <alignment horizontal="right" vertical="center"/>
    </xf>
    <xf numFmtId="3" fontId="45" fillId="0" borderId="1" xfId="55" applyNumberFormat="1" applyFont="1" applyBorder="1" applyAlignment="1">
      <alignment horizontal="right" vertical="center" wrapText="1"/>
    </xf>
    <xf numFmtId="3" fontId="45" fillId="0" borderId="1" xfId="55" applyNumberFormat="1" applyFont="1" applyBorder="1" applyAlignment="1">
      <alignment horizontal="right" vertical="center"/>
    </xf>
    <xf numFmtId="3" fontId="46" fillId="0" borderId="1" xfId="55" applyNumberFormat="1" applyFont="1" applyBorder="1" applyAlignment="1">
      <alignment horizontal="right" vertical="center"/>
    </xf>
    <xf numFmtId="0" fontId="45" fillId="0" borderId="1" xfId="55" applyFont="1" applyBorder="1" applyAlignment="1">
      <alignment vertical="center" wrapText="1"/>
    </xf>
    <xf numFmtId="0" fontId="49" fillId="0" borderId="1" xfId="55" applyFont="1" applyBorder="1" applyAlignment="1">
      <alignment horizontal="center" vertical="center"/>
    </xf>
    <xf numFmtId="0" fontId="46" fillId="0" borderId="2" xfId="55" applyFont="1" applyBorder="1" applyAlignment="1">
      <alignment horizontal="center" vertical="center" wrapText="1"/>
    </xf>
    <xf numFmtId="0" fontId="46" fillId="0" borderId="1" xfId="55" applyFont="1" applyBorder="1" applyAlignment="1">
      <alignment horizontal="center" vertical="center" wrapText="1"/>
    </xf>
    <xf numFmtId="3" fontId="46" fillId="0" borderId="0" xfId="55" applyNumberFormat="1" applyFont="1" applyAlignment="1">
      <alignment horizontal="right" vertical="center"/>
    </xf>
    <xf numFmtId="49" fontId="46" fillId="0" borderId="0" xfId="55" applyNumberFormat="1" applyFont="1" applyAlignment="1">
      <alignment horizontal="right" vertical="center"/>
    </xf>
    <xf numFmtId="49" fontId="46" fillId="0" borderId="13" xfId="55" applyNumberFormat="1" applyFont="1" applyBorder="1" applyAlignment="1">
      <alignment horizontal="right" vertical="center"/>
    </xf>
    <xf numFmtId="3" fontId="49" fillId="0" borderId="0" xfId="55" applyNumberFormat="1" applyFont="1" applyAlignment="1">
      <alignment horizontal="center" vertical="center" wrapText="1"/>
    </xf>
    <xf numFmtId="3" fontId="46" fillId="0" borderId="1" xfId="55" applyNumberFormat="1" applyFont="1" applyBorder="1" applyAlignment="1">
      <alignment horizontal="right" vertical="center" wrapText="1"/>
    </xf>
    <xf numFmtId="3" fontId="49" fillId="0" borderId="0" xfId="55" applyNumberFormat="1" applyFont="1" applyAlignment="1">
      <alignment horizontal="right" vertical="center" wrapText="1"/>
    </xf>
    <xf numFmtId="0" fontId="46" fillId="0" borderId="0" xfId="55" applyFont="1" applyAlignment="1">
      <alignment horizontal="right" vertical="center"/>
    </xf>
    <xf numFmtId="0" fontId="46" fillId="0" borderId="0" xfId="55" applyFont="1" applyAlignment="1">
      <alignment horizontal="center" vertical="center"/>
    </xf>
    <xf numFmtId="0" fontId="45" fillId="0" borderId="0" xfId="55" applyFont="1" applyAlignment="1">
      <alignment horizontal="center"/>
    </xf>
    <xf numFmtId="0" fontId="45" fillId="0" borderId="0" xfId="8" applyFont="1" applyAlignment="1">
      <alignment horizontal="center" vertical="center" wrapText="1"/>
    </xf>
    <xf numFmtId="0" fontId="45" fillId="0" borderId="0" xfId="8" applyFont="1" applyAlignment="1">
      <alignment horizontal="center" vertical="center"/>
    </xf>
    <xf numFmtId="0" fontId="46" fillId="0" borderId="0" xfId="55" applyFont="1" applyAlignment="1">
      <alignment horizontal="right"/>
    </xf>
    <xf numFmtId="0" fontId="45" fillId="0" borderId="0" xfId="55" applyFont="1" applyAlignment="1">
      <alignment horizontal="left"/>
    </xf>
    <xf numFmtId="0" fontId="47" fillId="0" borderId="0" xfId="0" applyFont="1"/>
    <xf numFmtId="0" fontId="47" fillId="0" borderId="0" xfId="0" applyFont="1" applyAlignment="1">
      <alignment wrapText="1"/>
    </xf>
    <xf numFmtId="0" fontId="45" fillId="0" borderId="0" xfId="0" applyFont="1" applyAlignment="1">
      <alignment wrapText="1"/>
    </xf>
    <xf numFmtId="0" fontId="48" fillId="0" borderId="0" xfId="0" applyFont="1"/>
    <xf numFmtId="49" fontId="46" fillId="0" borderId="7" xfId="55" applyNumberFormat="1" applyFont="1" applyBorder="1" applyAlignment="1">
      <alignment horizontal="left" vertical="center"/>
    </xf>
    <xf numFmtId="4" fontId="45" fillId="0" borderId="0" xfId="55" applyNumberFormat="1" applyFont="1" applyAlignment="1">
      <alignment horizontal="right"/>
    </xf>
    <xf numFmtId="3" fontId="46" fillId="0" borderId="0" xfId="55" applyNumberFormat="1" applyFont="1" applyAlignment="1">
      <alignment horizontal="right" wrapText="1"/>
    </xf>
    <xf numFmtId="4" fontId="45" fillId="0" borderId="0" xfId="55" applyNumberFormat="1" applyFont="1" applyAlignment="1">
      <alignment horizontal="left"/>
    </xf>
    <xf numFmtId="0" fontId="45" fillId="0" borderId="0" xfId="35" applyFont="1"/>
    <xf numFmtId="4" fontId="45" fillId="0" borderId="0" xfId="55" applyNumberFormat="1" applyFont="1" applyAlignment="1">
      <alignment horizontal="center"/>
    </xf>
    <xf numFmtId="3" fontId="45" fillId="0" borderId="0" xfId="55" applyNumberFormat="1" applyFont="1" applyAlignment="1">
      <alignment horizontal="left" vertical="center" wrapText="1"/>
    </xf>
    <xf numFmtId="0" fontId="45" fillId="0" borderId="0" xfId="1" applyFont="1" applyAlignment="1">
      <alignment horizontal="center"/>
    </xf>
    <xf numFmtId="4" fontId="45" fillId="0" borderId="0" xfId="8" applyNumberFormat="1" applyFont="1"/>
    <xf numFmtId="0" fontId="45" fillId="0" borderId="0" xfId="55" applyFont="1" applyAlignment="1">
      <alignment horizontal="left" vertical="center" wrapText="1"/>
    </xf>
    <xf numFmtId="4" fontId="45" fillId="0" borderId="0" xfId="1" applyNumberFormat="1" applyFont="1" applyAlignment="1">
      <alignment horizontal="center"/>
    </xf>
    <xf numFmtId="3" fontId="45" fillId="0" borderId="0" xfId="1" applyNumberFormat="1" applyFont="1"/>
    <xf numFmtId="0" fontId="45" fillId="0" borderId="0" xfId="1" applyFont="1" applyAlignment="1">
      <alignment horizontal="left"/>
    </xf>
    <xf numFmtId="0" fontId="45" fillId="0" borderId="0" xfId="57" applyFont="1"/>
    <xf numFmtId="0" fontId="45" fillId="0" borderId="0" xfId="1" applyFont="1" applyAlignment="1">
      <alignment vertical="top"/>
    </xf>
    <xf numFmtId="0" fontId="45" fillId="0" borderId="0" xfId="55" applyFont="1" applyAlignment="1">
      <alignment vertical="top"/>
    </xf>
    <xf numFmtId="0" fontId="45" fillId="0" borderId="0" xfId="1" applyFont="1" applyAlignment="1">
      <alignment horizontal="center" vertical="top"/>
    </xf>
    <xf numFmtId="3" fontId="46" fillId="0" borderId="0" xfId="55" applyNumberFormat="1" applyFont="1" applyAlignment="1">
      <alignment wrapText="1"/>
    </xf>
    <xf numFmtId="3" fontId="40" fillId="0" borderId="1" xfId="55" applyNumberFormat="1" applyFont="1" applyBorder="1" applyAlignment="1">
      <alignment horizontal="right"/>
    </xf>
    <xf numFmtId="3" fontId="47" fillId="0" borderId="1" xfId="55" applyNumberFormat="1" applyFont="1" applyBorder="1"/>
    <xf numFmtId="0" fontId="47" fillId="0" borderId="0" xfId="69" applyFont="1" applyAlignment="1">
      <alignment vertical="top"/>
    </xf>
    <xf numFmtId="0" fontId="47" fillId="0" borderId="0" xfId="69" applyFont="1" applyAlignment="1">
      <alignment horizontal="center"/>
    </xf>
    <xf numFmtId="4" fontId="45" fillId="0" borderId="0" xfId="70" applyNumberFormat="1" applyFont="1"/>
    <xf numFmtId="0" fontId="45" fillId="0" borderId="0" xfId="69" applyFont="1" applyAlignment="1">
      <alignment horizontal="center" vertical="center"/>
    </xf>
    <xf numFmtId="0" fontId="47" fillId="0" borderId="0" xfId="69" applyFont="1" applyAlignment="1">
      <alignment horizontal="center" vertical="center" wrapText="1"/>
    </xf>
    <xf numFmtId="0" fontId="45" fillId="0" borderId="0" xfId="4" applyFont="1"/>
    <xf numFmtId="0" fontId="45" fillId="0" borderId="0" xfId="8" applyFont="1" applyAlignment="1">
      <alignment horizontal="center"/>
    </xf>
    <xf numFmtId="0" fontId="58" fillId="0" borderId="0" xfId="75" applyFont="1"/>
    <xf numFmtId="0" fontId="59" fillId="0" borderId="21" xfId="75" applyFont="1" applyBorder="1" applyAlignment="1">
      <alignment horizontal="center" vertical="top"/>
    </xf>
    <xf numFmtId="165" fontId="58" fillId="0" borderId="21" xfId="75" applyNumberFormat="1" applyFont="1" applyBorder="1" applyAlignment="1">
      <alignment horizontal="right" vertical="center"/>
    </xf>
    <xf numFmtId="0" fontId="59" fillId="0" borderId="0" xfId="75" applyFont="1" applyAlignment="1">
      <alignment horizontal="center" vertical="top"/>
    </xf>
    <xf numFmtId="0" fontId="58" fillId="0" borderId="21" xfId="75" applyFont="1" applyBorder="1"/>
    <xf numFmtId="0" fontId="58" fillId="0" borderId="21" xfId="75" applyFont="1" applyBorder="1" applyAlignment="1">
      <alignment horizontal="center"/>
    </xf>
    <xf numFmtId="0" fontId="58" fillId="0" borderId="0" xfId="75" applyFont="1" applyAlignment="1">
      <alignment horizontal="center"/>
    </xf>
    <xf numFmtId="0" fontId="60" fillId="0" borderId="0" xfId="75" applyFont="1" applyAlignment="1">
      <alignment horizontal="center" vertical="top"/>
    </xf>
    <xf numFmtId="0" fontId="61" fillId="0" borderId="0" xfId="75" applyFont="1" applyAlignment="1">
      <alignment vertical="top"/>
    </xf>
    <xf numFmtId="165" fontId="58" fillId="0" borderId="0" xfId="75" applyNumberFormat="1" applyFont="1" applyAlignment="1">
      <alignment horizontal="right" vertical="center"/>
    </xf>
    <xf numFmtId="0" fontId="61" fillId="0" borderId="0" xfId="75" applyFont="1" applyAlignment="1">
      <alignment horizontal="center" vertical="center" wrapText="1"/>
    </xf>
    <xf numFmtId="0" fontId="49" fillId="0" borderId="0" xfId="55" applyFont="1" applyAlignment="1">
      <alignment horizontal="left"/>
    </xf>
    <xf numFmtId="0" fontId="46" fillId="0" borderId="0" xfId="8" applyFont="1" applyAlignment="1">
      <alignment horizontal="center"/>
    </xf>
    <xf numFmtId="0" fontId="65" fillId="0" borderId="0" xfId="4" applyFont="1" applyAlignment="1">
      <alignment horizontal="center"/>
    </xf>
    <xf numFmtId="0" fontId="56" fillId="0" borderId="0" xfId="4" applyFont="1"/>
    <xf numFmtId="0" fontId="67" fillId="0" borderId="0" xfId="4" applyFont="1"/>
    <xf numFmtId="0" fontId="45" fillId="0" borderId="0" xfId="55" applyFont="1" applyAlignment="1">
      <alignment horizontal="right"/>
    </xf>
    <xf numFmtId="0" fontId="45" fillId="2" borderId="1" xfId="4" applyFont="1" applyFill="1" applyBorder="1" applyAlignment="1">
      <alignment horizontal="center" vertical="center" wrapText="1"/>
    </xf>
    <xf numFmtId="0" fontId="49" fillId="2" borderId="1" xfId="1" applyFont="1" applyFill="1" applyBorder="1" applyAlignment="1">
      <alignment horizontal="center" vertical="center" wrapText="1"/>
    </xf>
    <xf numFmtId="0" fontId="49" fillId="0" borderId="0" xfId="4" applyFont="1"/>
    <xf numFmtId="4" fontId="49" fillId="0" borderId="0" xfId="4" applyNumberFormat="1" applyFont="1"/>
    <xf numFmtId="165" fontId="45" fillId="2" borderId="1" xfId="1" applyNumberFormat="1" applyFont="1" applyFill="1" applyBorder="1" applyAlignment="1">
      <alignment horizontal="left" vertical="center" wrapText="1"/>
    </xf>
    <xf numFmtId="4" fontId="45" fillId="2" borderId="1" xfId="1" applyNumberFormat="1" applyFont="1" applyFill="1" applyBorder="1" applyAlignment="1">
      <alignment horizontal="right" vertical="center" wrapText="1"/>
    </xf>
    <xf numFmtId="4" fontId="46" fillId="2" borderId="1" xfId="1" applyNumberFormat="1" applyFont="1" applyFill="1" applyBorder="1" applyAlignment="1">
      <alignment horizontal="right" vertical="center" wrapText="1"/>
    </xf>
    <xf numFmtId="4" fontId="45" fillId="0" borderId="0" xfId="4" applyNumberFormat="1" applyFont="1"/>
    <xf numFmtId="0" fontId="48" fillId="2" borderId="0" xfId="4" applyFont="1" applyFill="1"/>
    <xf numFmtId="0" fontId="45" fillId="2" borderId="0" xfId="4" applyFont="1" applyFill="1"/>
    <xf numFmtId="0" fontId="45" fillId="2" borderId="0" xfId="55" applyFont="1" applyFill="1" applyAlignment="1">
      <alignment horizontal="right"/>
    </xf>
    <xf numFmtId="165" fontId="45" fillId="2" borderId="0" xfId="1" applyNumberFormat="1" applyFont="1" applyFill="1" applyAlignment="1">
      <alignment vertical="center" wrapText="1"/>
    </xf>
    <xf numFmtId="165" fontId="45" fillId="2" borderId="0" xfId="1" applyNumberFormat="1" applyFont="1" applyFill="1" applyAlignment="1">
      <alignment horizontal="left" vertical="center" wrapText="1"/>
    </xf>
    <xf numFmtId="1" fontId="46" fillId="0" borderId="0" xfId="4" applyNumberFormat="1" applyFont="1"/>
    <xf numFmtId="1" fontId="45" fillId="0" borderId="0" xfId="4" applyNumberFormat="1" applyFont="1"/>
    <xf numFmtId="0" fontId="46" fillId="0" borderId="0" xfId="1" applyFont="1" applyAlignment="1">
      <alignment horizontal="center" vertical="center" wrapText="1"/>
    </xf>
    <xf numFmtId="0" fontId="45" fillId="0" borderId="1" xfId="4" applyFont="1" applyBorder="1" applyAlignment="1">
      <alignment horizontal="center" vertical="center" wrapText="1"/>
    </xf>
    <xf numFmtId="0" fontId="45" fillId="0" borderId="3" xfId="8" applyFont="1" applyBorder="1" applyAlignment="1">
      <alignment horizontal="center" vertical="center" wrapText="1"/>
    </xf>
    <xf numFmtId="0" fontId="49" fillId="0" borderId="1" xfId="8" applyFont="1" applyBorder="1" applyAlignment="1">
      <alignment horizontal="center" vertical="center" wrapText="1"/>
    </xf>
    <xf numFmtId="49" fontId="45" fillId="0" borderId="3" xfId="8" applyNumberFormat="1" applyFont="1" applyBorder="1" applyAlignment="1">
      <alignment horizontal="center" vertical="center" wrapText="1"/>
    </xf>
    <xf numFmtId="4" fontId="45" fillId="0" borderId="1" xfId="1" applyNumberFormat="1" applyFont="1" applyBorder="1" applyAlignment="1">
      <alignment horizontal="right" vertical="center" wrapText="1"/>
    </xf>
    <xf numFmtId="0" fontId="46" fillId="0" borderId="0" xfId="4" applyFont="1"/>
    <xf numFmtId="49" fontId="45" fillId="0" borderId="1" xfId="8" applyNumberFormat="1" applyFont="1" applyBorder="1" applyAlignment="1">
      <alignment horizontal="center" vertical="center" wrapText="1"/>
    </xf>
    <xf numFmtId="4" fontId="46" fillId="0" borderId="1" xfId="1" applyNumberFormat="1" applyFont="1" applyBorder="1" applyAlignment="1">
      <alignment horizontal="right" vertical="center" wrapText="1"/>
    </xf>
    <xf numFmtId="49" fontId="45" fillId="0" borderId="0" xfId="8" applyNumberFormat="1" applyFont="1" applyAlignment="1">
      <alignment horizontal="right" vertical="center"/>
    </xf>
    <xf numFmtId="0" fontId="45" fillId="0" borderId="0" xfId="8" applyFont="1" applyAlignment="1">
      <alignment horizontal="left" vertical="center" wrapText="1"/>
    </xf>
    <xf numFmtId="4" fontId="45" fillId="0" borderId="0" xfId="8" applyNumberFormat="1" applyFont="1" applyAlignment="1">
      <alignment horizontal="left" vertical="center" wrapText="1"/>
    </xf>
    <xf numFmtId="4" fontId="45" fillId="0" borderId="1" xfId="4" applyNumberFormat="1" applyFont="1" applyBorder="1" applyAlignment="1">
      <alignment horizontal="right" vertical="center"/>
    </xf>
    <xf numFmtId="165" fontId="45" fillId="0" borderId="0" xfId="1" applyNumberFormat="1" applyFont="1" applyAlignment="1">
      <alignment horizontal="left" vertical="center" wrapText="1"/>
    </xf>
    <xf numFmtId="4" fontId="45" fillId="0" borderId="0" xfId="4" applyNumberFormat="1" applyFont="1" applyAlignment="1">
      <alignment horizontal="right" vertical="center"/>
    </xf>
    <xf numFmtId="165" fontId="45" fillId="0" borderId="0" xfId="1" applyNumberFormat="1" applyFont="1" applyAlignment="1">
      <alignment vertical="center" wrapText="1"/>
    </xf>
    <xf numFmtId="4" fontId="67" fillId="0" borderId="0" xfId="4" applyNumberFormat="1" applyFont="1"/>
    <xf numFmtId="0" fontId="65" fillId="0" borderId="0" xfId="4" applyFont="1"/>
    <xf numFmtId="4" fontId="45" fillId="0" borderId="0" xfId="4" applyNumberFormat="1" applyFont="1" applyAlignment="1">
      <alignment horizontal="center" vertical="center"/>
    </xf>
    <xf numFmtId="0" fontId="45" fillId="0" borderId="0" xfId="4" applyFont="1" applyAlignment="1">
      <alignment vertical="center" wrapText="1"/>
    </xf>
    <xf numFmtId="0" fontId="45" fillId="0" borderId="0" xfId="4" applyFont="1" applyAlignment="1">
      <alignment vertical="center"/>
    </xf>
    <xf numFmtId="0" fontId="45" fillId="0" borderId="0" xfId="15" applyFont="1" applyAlignment="1">
      <alignment vertical="center"/>
    </xf>
    <xf numFmtId="0" fontId="45" fillId="0" borderId="0" xfId="15" applyFont="1" applyAlignment="1">
      <alignment horizontal="left" vertical="center"/>
    </xf>
    <xf numFmtId="0" fontId="45" fillId="0" borderId="0" xfId="15" applyFont="1" applyAlignment="1">
      <alignment vertical="top"/>
    </xf>
    <xf numFmtId="165" fontId="46" fillId="0" borderId="0" xfId="15" applyNumberFormat="1" applyFont="1" applyAlignment="1">
      <alignment vertical="top"/>
    </xf>
    <xf numFmtId="4" fontId="46" fillId="0" borderId="0" xfId="4" applyNumberFormat="1" applyFont="1"/>
    <xf numFmtId="0" fontId="58" fillId="0" borderId="0" xfId="1" applyFont="1"/>
    <xf numFmtId="0" fontId="56" fillId="0" borderId="21" xfId="76" applyFont="1" applyBorder="1" applyAlignment="1">
      <alignment horizontal="center"/>
    </xf>
    <xf numFmtId="0" fontId="56" fillId="0" borderId="0" xfId="76" applyFont="1"/>
    <xf numFmtId="0" fontId="69" fillId="0" borderId="20" xfId="76" applyFont="1" applyBorder="1" applyAlignment="1">
      <alignment horizontal="center" vertical="center" wrapText="1"/>
    </xf>
    <xf numFmtId="0" fontId="69" fillId="0" borderId="0" xfId="76" applyFont="1" applyAlignment="1">
      <alignment vertical="center"/>
    </xf>
    <xf numFmtId="0" fontId="69" fillId="0" borderId="0" xfId="76" applyFont="1" applyAlignment="1">
      <alignment horizontal="center" vertical="center"/>
    </xf>
    <xf numFmtId="0" fontId="56" fillId="0" borderId="0" xfId="76" applyFont="1" applyAlignment="1">
      <alignment horizontal="left"/>
    </xf>
    <xf numFmtId="0" fontId="68" fillId="0" borderId="0" xfId="76" applyFont="1" applyAlignment="1">
      <alignment horizontal="left"/>
    </xf>
    <xf numFmtId="0" fontId="68" fillId="0" borderId="21" xfId="76" applyFont="1" applyBorder="1" applyAlignment="1">
      <alignment horizontal="center"/>
    </xf>
    <xf numFmtId="0" fontId="68" fillId="0" borderId="0" xfId="76" applyFont="1"/>
    <xf numFmtId="0" fontId="46" fillId="0" borderId="40" xfId="65" applyFont="1" applyBorder="1" applyAlignment="1">
      <alignment horizontal="center"/>
    </xf>
    <xf numFmtId="0" fontId="45" fillId="0" borderId="39" xfId="65" applyFont="1" applyBorder="1"/>
    <xf numFmtId="0" fontId="46" fillId="0" borderId="37" xfId="65" applyFont="1" applyBorder="1" applyAlignment="1">
      <alignment horizontal="center"/>
    </xf>
    <xf numFmtId="0" fontId="45" fillId="0" borderId="36" xfId="65" applyFont="1" applyBorder="1"/>
    <xf numFmtId="43" fontId="45" fillId="0" borderId="39" xfId="80" applyFont="1" applyBorder="1" applyAlignment="1">
      <alignment horizontal="center"/>
    </xf>
    <xf numFmtId="43" fontId="45" fillId="0" borderId="39" xfId="80" applyFont="1" applyBorder="1"/>
    <xf numFmtId="43" fontId="45" fillId="0" borderId="38" xfId="80" applyFont="1" applyBorder="1" applyAlignment="1">
      <alignment horizontal="center"/>
    </xf>
    <xf numFmtId="43" fontId="45" fillId="0" borderId="36" xfId="80" applyFont="1" applyBorder="1" applyAlignment="1">
      <alignment horizontal="center"/>
    </xf>
    <xf numFmtId="43" fontId="45" fillId="0" borderId="36" xfId="80" applyFont="1" applyBorder="1"/>
    <xf numFmtId="43" fontId="45" fillId="0" borderId="35" xfId="80" applyFont="1" applyBorder="1" applyAlignment="1">
      <alignment horizontal="center"/>
    </xf>
    <xf numFmtId="49" fontId="56" fillId="0" borderId="1" xfId="15" applyNumberFormat="1" applyFont="1" applyBorder="1" applyAlignment="1">
      <alignment horizontal="center" vertical="center"/>
    </xf>
    <xf numFmtId="0" fontId="45" fillId="0" borderId="1" xfId="15" applyFont="1" applyBorder="1" applyAlignment="1">
      <alignment vertical="center" wrapText="1"/>
    </xf>
    <xf numFmtId="4" fontId="45" fillId="0" borderId="1" xfId="8" applyNumberFormat="1" applyFont="1" applyBorder="1" applyAlignment="1">
      <alignment vertical="center" wrapText="1"/>
    </xf>
    <xf numFmtId="4" fontId="46" fillId="0" borderId="1" xfId="8" applyNumberFormat="1" applyFont="1" applyBorder="1" applyAlignment="1">
      <alignment vertical="center" wrapText="1"/>
    </xf>
    <xf numFmtId="0" fontId="45" fillId="0" borderId="0" xfId="65" applyFont="1"/>
    <xf numFmtId="0" fontId="45" fillId="0" borderId="0" xfId="65" applyFont="1" applyAlignment="1">
      <alignment horizontal="right"/>
    </xf>
    <xf numFmtId="0" fontId="46" fillId="0" borderId="0" xfId="65" applyFont="1" applyAlignment="1">
      <alignment horizontal="center"/>
    </xf>
    <xf numFmtId="0" fontId="46" fillId="0" borderId="0" xfId="65" applyFont="1" applyAlignment="1">
      <alignment horizontal="left"/>
    </xf>
    <xf numFmtId="0" fontId="46" fillId="0" borderId="0" xfId="65" applyFont="1" applyAlignment="1">
      <alignment horizontal="right"/>
    </xf>
    <xf numFmtId="2" fontId="45" fillId="0" borderId="0" xfId="65" applyNumberFormat="1" applyFont="1"/>
    <xf numFmtId="0" fontId="45" fillId="0" borderId="0" xfId="8" applyFont="1" applyAlignment="1">
      <alignment horizontal="right" vertical="center"/>
    </xf>
    <xf numFmtId="0" fontId="45" fillId="0" borderId="6" xfId="8" applyFont="1" applyBorder="1" applyAlignment="1">
      <alignment horizontal="left" vertical="center" wrapText="1"/>
    </xf>
    <xf numFmtId="0" fontId="46" fillId="0" borderId="1" xfId="8" applyFont="1" applyBorder="1" applyAlignment="1">
      <alignment horizontal="center" vertical="center" wrapText="1"/>
    </xf>
    <xf numFmtId="0" fontId="46" fillId="0" borderId="2" xfId="8" applyFont="1" applyBorder="1" applyAlignment="1">
      <alignment horizontal="center" vertical="center" wrapText="1"/>
    </xf>
    <xf numFmtId="0" fontId="46" fillId="0" borderId="6" xfId="8" applyFont="1" applyBorder="1" applyAlignment="1">
      <alignment horizontal="center" vertical="center" wrapText="1"/>
    </xf>
    <xf numFmtId="0" fontId="45" fillId="0" borderId="0" xfId="60" applyFont="1" applyAlignment="1">
      <alignment horizontal="left"/>
    </xf>
    <xf numFmtId="0" fontId="52" fillId="0" borderId="0" xfId="55" applyFont="1" applyAlignment="1">
      <alignment horizontal="left"/>
    </xf>
    <xf numFmtId="0" fontId="42" fillId="0" borderId="0" xfId="60"/>
    <xf numFmtId="43" fontId="43" fillId="0" borderId="0" xfId="59" applyFont="1" applyAlignment="1">
      <alignment vertical="center"/>
    </xf>
    <xf numFmtId="0" fontId="70" fillId="0" borderId="0" xfId="0" applyFont="1" applyAlignment="1">
      <alignment horizontal="center"/>
    </xf>
    <xf numFmtId="0" fontId="70" fillId="0" borderId="0" xfId="0" applyFont="1"/>
    <xf numFmtId="4" fontId="70" fillId="0" borderId="0" xfId="0" applyNumberFormat="1" applyFont="1"/>
    <xf numFmtId="4" fontId="26" fillId="0" borderId="0" xfId="0" applyNumberFormat="1" applyFont="1"/>
    <xf numFmtId="4" fontId="72" fillId="0" borderId="0" xfId="0" applyNumberFormat="1" applyFont="1" applyAlignment="1">
      <alignment vertical="top"/>
    </xf>
    <xf numFmtId="4" fontId="70" fillId="0" borderId="0" xfId="0" applyNumberFormat="1" applyFont="1" applyAlignment="1">
      <alignment horizontal="center"/>
    </xf>
    <xf numFmtId="0" fontId="73" fillId="0" borderId="0" xfId="0" applyFont="1"/>
    <xf numFmtId="4" fontId="26" fillId="0" borderId="0" xfId="0" applyNumberFormat="1" applyFont="1" applyAlignment="1">
      <alignment horizontal="center"/>
    </xf>
    <xf numFmtId="0" fontId="74" fillId="0" borderId="0" xfId="0" applyFont="1" applyAlignment="1">
      <alignment horizontal="center"/>
    </xf>
    <xf numFmtId="0" fontId="75" fillId="0" borderId="0" xfId="0" applyFont="1" applyAlignment="1">
      <alignment horizontal="center"/>
    </xf>
    <xf numFmtId="4" fontId="75" fillId="0" borderId="1" xfId="0" applyNumberFormat="1" applyFont="1" applyBorder="1" applyAlignment="1">
      <alignment horizontal="center" vertical="top" wrapText="1"/>
    </xf>
    <xf numFmtId="49" fontId="26" fillId="0" borderId="1" xfId="0" applyNumberFormat="1" applyFont="1" applyBorder="1" applyAlignment="1">
      <alignment horizontal="center" vertical="top" wrapText="1"/>
    </xf>
    <xf numFmtId="49" fontId="70" fillId="0" borderId="0" xfId="0" applyNumberFormat="1" applyFont="1" applyAlignment="1">
      <alignment vertical="top" wrapText="1"/>
    </xf>
    <xf numFmtId="4" fontId="26" fillId="0" borderId="1" xfId="0" applyNumberFormat="1" applyFont="1" applyBorder="1" applyAlignment="1">
      <alignment horizontal="center" vertical="top" wrapText="1"/>
    </xf>
    <xf numFmtId="4" fontId="26" fillId="0" borderId="1" xfId="0" applyNumberFormat="1" applyFont="1" applyBorder="1" applyAlignment="1">
      <alignment horizontal="center" vertical="center" wrapText="1"/>
    </xf>
    <xf numFmtId="49" fontId="26" fillId="0" borderId="1" xfId="0" applyNumberFormat="1" applyFont="1" applyBorder="1" applyAlignment="1">
      <alignment vertical="justify" wrapText="1"/>
    </xf>
    <xf numFmtId="49" fontId="26" fillId="0" borderId="0" xfId="0" applyNumberFormat="1" applyFont="1" applyAlignment="1">
      <alignment vertical="top" wrapText="1"/>
    </xf>
    <xf numFmtId="49" fontId="26" fillId="0" borderId="1" xfId="0" applyNumberFormat="1" applyFont="1" applyBorder="1" applyAlignment="1">
      <alignment horizontal="right" vertical="justify" wrapText="1"/>
    </xf>
    <xf numFmtId="49" fontId="75" fillId="0" borderId="1" xfId="0" applyNumberFormat="1" applyFont="1" applyBorder="1" applyAlignment="1">
      <alignment horizontal="center" vertical="top" wrapText="1"/>
    </xf>
    <xf numFmtId="49" fontId="75" fillId="0" borderId="1" xfId="0" applyNumberFormat="1" applyFont="1" applyBorder="1" applyAlignment="1">
      <alignment vertical="justify" wrapText="1"/>
    </xf>
    <xf numFmtId="4" fontId="75" fillId="0" borderId="1" xfId="0" applyNumberFormat="1" applyFont="1" applyBorder="1" applyAlignment="1">
      <alignment horizontal="center" vertical="center" wrapText="1"/>
    </xf>
    <xf numFmtId="49" fontId="75" fillId="0" borderId="0" xfId="0" applyNumberFormat="1" applyFont="1" applyAlignment="1">
      <alignment vertical="top" wrapText="1"/>
    </xf>
    <xf numFmtId="49" fontId="26" fillId="0" borderId="0" xfId="0" applyNumberFormat="1" applyFont="1" applyAlignment="1">
      <alignment horizontal="right" vertical="top" wrapText="1"/>
    </xf>
    <xf numFmtId="49" fontId="75" fillId="0" borderId="0" xfId="0" applyNumberFormat="1" applyFont="1" applyAlignment="1">
      <alignment horizontal="right" vertical="top" wrapText="1"/>
    </xf>
    <xf numFmtId="49" fontId="26" fillId="0" borderId="1" xfId="0" applyNumberFormat="1" applyFont="1" applyBorder="1" applyAlignment="1">
      <alignment horizontal="right" vertical="top" wrapText="1"/>
    </xf>
    <xf numFmtId="49" fontId="26" fillId="0" borderId="1" xfId="0" applyNumberFormat="1" applyFont="1" applyBorder="1" applyAlignment="1">
      <alignment horizontal="left" vertical="justify" wrapText="1"/>
    </xf>
    <xf numFmtId="49" fontId="26" fillId="0" borderId="3" xfId="0" applyNumberFormat="1" applyFont="1" applyBorder="1" applyAlignment="1">
      <alignment horizontal="left" vertical="justify" wrapText="1"/>
    </xf>
    <xf numFmtId="4" fontId="26" fillId="0" borderId="3" xfId="0" applyNumberFormat="1" applyFont="1" applyBorder="1" applyAlignment="1">
      <alignment horizontal="center" vertical="center" wrapText="1"/>
    </xf>
    <xf numFmtId="4" fontId="75" fillId="0" borderId="14" xfId="0" applyNumberFormat="1" applyFont="1" applyBorder="1" applyAlignment="1">
      <alignment horizontal="center" vertical="center" wrapText="1"/>
    </xf>
    <xf numFmtId="49" fontId="74" fillId="0" borderId="0" xfId="0" applyNumberFormat="1" applyFont="1" applyAlignment="1">
      <alignment vertical="top" wrapText="1"/>
    </xf>
    <xf numFmtId="4" fontId="74" fillId="0" borderId="0" xfId="0" applyNumberFormat="1" applyFont="1" applyAlignment="1">
      <alignment horizontal="center" vertical="center" wrapText="1"/>
    </xf>
    <xf numFmtId="4" fontId="75" fillId="0" borderId="0" xfId="0" applyNumberFormat="1" applyFont="1" applyAlignment="1">
      <alignment horizontal="center" vertical="center" wrapText="1"/>
    </xf>
    <xf numFmtId="0" fontId="26" fillId="0" borderId="0" xfId="0" applyFont="1"/>
    <xf numFmtId="0" fontId="26" fillId="0" borderId="0" xfId="0" applyFont="1" applyAlignment="1">
      <alignment horizontal="center"/>
    </xf>
    <xf numFmtId="0" fontId="1" fillId="0" borderId="0" xfId="0" applyFont="1" applyAlignment="1">
      <alignment horizontal="center"/>
    </xf>
    <xf numFmtId="4" fontId="0" fillId="0" borderId="0" xfId="0" applyNumberFormat="1" applyAlignment="1">
      <alignment horizontal="center"/>
    </xf>
    <xf numFmtId="0" fontId="64" fillId="0" borderId="0" xfId="8" applyFont="1" applyAlignment="1">
      <alignment horizontal="center"/>
    </xf>
    <xf numFmtId="0" fontId="46" fillId="0" borderId="0" xfId="8" applyFont="1"/>
    <xf numFmtId="0" fontId="50" fillId="0" borderId="3" xfId="8" applyFont="1" applyBorder="1" applyAlignment="1">
      <alignment horizontal="center" vertical="center" wrapText="1"/>
    </xf>
    <xf numFmtId="0" fontId="50" fillId="0" borderId="19" xfId="8" applyFont="1" applyBorder="1" applyAlignment="1">
      <alignment horizontal="center" vertical="center" wrapText="1"/>
    </xf>
    <xf numFmtId="0" fontId="50" fillId="0" borderId="0" xfId="8" applyFont="1"/>
    <xf numFmtId="4" fontId="46" fillId="0" borderId="14" xfId="8" applyNumberFormat="1" applyFont="1" applyBorder="1" applyAlignment="1">
      <alignment vertical="center"/>
    </xf>
    <xf numFmtId="43" fontId="45" fillId="0" borderId="0" xfId="73" applyFont="1"/>
    <xf numFmtId="0" fontId="46" fillId="0" borderId="1" xfId="15" applyFont="1" applyBorder="1" applyAlignment="1">
      <alignment horizontal="left" vertical="center" wrapText="1"/>
    </xf>
    <xf numFmtId="4" fontId="46" fillId="0" borderId="2" xfId="8" applyNumberFormat="1" applyFont="1" applyBorder="1" applyAlignment="1">
      <alignment vertical="center" wrapText="1"/>
    </xf>
    <xf numFmtId="4" fontId="48" fillId="0" borderId="0" xfId="8" applyNumberFormat="1" applyFont="1"/>
    <xf numFmtId="0" fontId="48" fillId="0" borderId="0" xfId="8" applyFont="1"/>
    <xf numFmtId="49" fontId="45" fillId="0" borderId="10" xfId="15" applyNumberFormat="1" applyFont="1" applyBorder="1" applyAlignment="1">
      <alignment vertical="center" wrapText="1"/>
    </xf>
    <xf numFmtId="4" fontId="45" fillId="0" borderId="2" xfId="8" applyNumberFormat="1" applyFont="1" applyBorder="1" applyAlignment="1">
      <alignment vertical="center" wrapText="1"/>
    </xf>
    <xf numFmtId="4" fontId="45" fillId="0" borderId="1" xfId="8" applyNumberFormat="1" applyFont="1" applyBorder="1" applyAlignment="1">
      <alignment horizontal="right" vertical="center" wrapText="1"/>
    </xf>
    <xf numFmtId="49" fontId="63" fillId="0" borderId="1" xfId="15" applyNumberFormat="1" applyFont="1" applyBorder="1" applyAlignment="1">
      <alignment horizontal="center" vertical="center"/>
    </xf>
    <xf numFmtId="49" fontId="56" fillId="0" borderId="3" xfId="15" applyNumberFormat="1" applyFont="1" applyBorder="1" applyAlignment="1">
      <alignment horizontal="center" vertical="center"/>
    </xf>
    <xf numFmtId="0" fontId="45" fillId="0" borderId="1" xfId="15" applyFont="1" applyBorder="1" applyAlignment="1">
      <alignment horizontal="left" vertical="center" wrapText="1"/>
    </xf>
    <xf numFmtId="0" fontId="56" fillId="0" borderId="1" xfId="15" applyFont="1" applyBorder="1" applyAlignment="1">
      <alignment horizontal="center" vertical="center"/>
    </xf>
    <xf numFmtId="49" fontId="45" fillId="0" borderId="1" xfId="15" applyNumberFormat="1" applyFont="1" applyBorder="1" applyAlignment="1">
      <alignment horizontal="left" vertical="center" wrapText="1"/>
    </xf>
    <xf numFmtId="1" fontId="63" fillId="0" borderId="1" xfId="15" applyNumberFormat="1" applyFont="1" applyBorder="1" applyAlignment="1">
      <alignment horizontal="center" vertical="center"/>
    </xf>
    <xf numFmtId="0" fontId="46" fillId="0" borderId="1" xfId="15" applyFont="1" applyBorder="1" applyAlignment="1">
      <alignment vertical="center" wrapText="1"/>
    </xf>
    <xf numFmtId="0" fontId="63" fillId="0" borderId="1" xfId="15" applyFont="1" applyBorder="1" applyAlignment="1">
      <alignment horizontal="center" vertical="center"/>
    </xf>
    <xf numFmtId="49" fontId="46" fillId="0" borderId="1" xfId="15" applyNumberFormat="1" applyFont="1" applyBorder="1" applyAlignment="1">
      <alignment horizontal="left" vertical="center" wrapText="1"/>
    </xf>
    <xf numFmtId="49" fontId="46" fillId="0" borderId="3" xfId="15" applyNumberFormat="1" applyFont="1" applyBorder="1" applyAlignment="1">
      <alignment horizontal="center" vertical="center"/>
    </xf>
    <xf numFmtId="49" fontId="63" fillId="0" borderId="1" xfId="8" applyNumberFormat="1" applyFont="1" applyBorder="1" applyAlignment="1">
      <alignment horizontal="center" vertical="center"/>
    </xf>
    <xf numFmtId="0" fontId="46" fillId="0" borderId="6" xfId="8" applyFont="1" applyBorder="1" applyAlignment="1">
      <alignment horizontal="left" vertical="center" wrapText="1"/>
    </xf>
    <xf numFmtId="49" fontId="56" fillId="0" borderId="1" xfId="8" applyNumberFormat="1" applyFont="1" applyBorder="1" applyAlignment="1">
      <alignment horizontal="center" vertical="center"/>
    </xf>
    <xf numFmtId="0" fontId="45" fillId="0" borderId="1" xfId="8" applyFont="1" applyBorder="1" applyAlignment="1">
      <alignment horizontal="left" vertical="center" wrapText="1"/>
    </xf>
    <xf numFmtId="49" fontId="56" fillId="0" borderId="2" xfId="8" applyNumberFormat="1" applyFont="1" applyBorder="1" applyAlignment="1">
      <alignment horizontal="center" vertical="center"/>
    </xf>
    <xf numFmtId="0" fontId="45" fillId="0" borderId="2" xfId="8" applyFont="1" applyBorder="1" applyAlignment="1">
      <alignment horizontal="left" vertical="center" wrapText="1"/>
    </xf>
    <xf numFmtId="165" fontId="46" fillId="0" borderId="0" xfId="8" applyNumberFormat="1" applyFont="1"/>
    <xf numFmtId="49" fontId="46" fillId="0" borderId="0" xfId="8" applyNumberFormat="1" applyFont="1" applyAlignment="1">
      <alignment horizontal="right" vertical="top"/>
    </xf>
    <xf numFmtId="165" fontId="64" fillId="0" borderId="0" xfId="8" applyNumberFormat="1" applyFont="1"/>
    <xf numFmtId="0" fontId="64" fillId="0" borderId="0" xfId="8" applyFont="1"/>
    <xf numFmtId="0" fontId="45" fillId="0" borderId="0" xfId="8" applyFont="1" applyAlignment="1">
      <alignment horizontal="right" vertical="top"/>
    </xf>
    <xf numFmtId="0" fontId="45" fillId="0" borderId="0" xfId="72" applyFont="1"/>
    <xf numFmtId="0" fontId="57" fillId="0" borderId="0" xfId="75" applyFont="1"/>
    <xf numFmtId="0" fontId="57" fillId="0" borderId="0" xfId="75" applyFont="1" applyAlignment="1">
      <alignment horizontal="center"/>
    </xf>
    <xf numFmtId="0" fontId="77" fillId="0" borderId="0" xfId="0" applyFont="1" applyAlignment="1">
      <alignment horizontal="right" vertical="center"/>
    </xf>
    <xf numFmtId="0" fontId="77" fillId="0" borderId="0" xfId="0" applyFont="1" applyAlignment="1">
      <alignment vertical="center"/>
    </xf>
    <xf numFmtId="165" fontId="77" fillId="0" borderId="0" xfId="77" applyNumberFormat="1" applyFont="1" applyAlignment="1">
      <alignment horizontal="left" vertical="center" wrapText="1"/>
    </xf>
    <xf numFmtId="0" fontId="78" fillId="0" borderId="0" xfId="75" applyFont="1"/>
    <xf numFmtId="0" fontId="77" fillId="0" borderId="0" xfId="75" applyFont="1" applyAlignment="1">
      <alignment vertical="center"/>
    </xf>
    <xf numFmtId="0" fontId="78" fillId="0" borderId="0" xfId="75" applyFont="1" applyAlignment="1">
      <alignment horizontal="left"/>
    </xf>
    <xf numFmtId="165" fontId="77" fillId="0" borderId="0" xfId="77" applyNumberFormat="1" applyFont="1" applyAlignment="1">
      <alignment horizontal="right" vertical="center"/>
    </xf>
    <xf numFmtId="0" fontId="25" fillId="0" borderId="0" xfId="0" applyFont="1"/>
    <xf numFmtId="0" fontId="80" fillId="0" borderId="0" xfId="75" applyFont="1"/>
    <xf numFmtId="2" fontId="80" fillId="0" borderId="0" xfId="75" applyNumberFormat="1" applyFont="1"/>
    <xf numFmtId="0" fontId="77" fillId="0" borderId="0" xfId="75" applyFont="1"/>
    <xf numFmtId="0" fontId="78" fillId="0" borderId="0" xfId="75" applyFont="1" applyAlignment="1">
      <alignment vertical="center"/>
    </xf>
    <xf numFmtId="0" fontId="81" fillId="0" borderId="0" xfId="75" applyFont="1"/>
    <xf numFmtId="2" fontId="78" fillId="0" borderId="0" xfId="75" applyNumberFormat="1" applyFont="1"/>
    <xf numFmtId="0" fontId="82" fillId="0" borderId="0" xfId="75" applyFont="1"/>
    <xf numFmtId="0" fontId="83" fillId="0" borderId="0" xfId="75" applyFont="1"/>
    <xf numFmtId="0" fontId="84" fillId="0" borderId="0" xfId="0" applyFont="1" applyAlignment="1">
      <alignment horizontal="center" vertical="center"/>
    </xf>
    <xf numFmtId="2" fontId="84" fillId="0" borderId="0" xfId="0" applyNumberFormat="1" applyFont="1" applyAlignment="1">
      <alignment horizontal="center" vertical="center"/>
    </xf>
    <xf numFmtId="0" fontId="25" fillId="0" borderId="0" xfId="0" applyFont="1" applyAlignment="1">
      <alignment wrapText="1"/>
    </xf>
    <xf numFmtId="0" fontId="79" fillId="0" borderId="0" xfId="77" applyFont="1" applyAlignment="1">
      <alignment horizontal="center" vertical="top"/>
    </xf>
    <xf numFmtId="0" fontId="71" fillId="0" borderId="0" xfId="0" applyFont="1"/>
    <xf numFmtId="2" fontId="71" fillId="0" borderId="0" xfId="0" applyNumberFormat="1" applyFont="1"/>
    <xf numFmtId="0" fontId="78" fillId="0" borderId="0" xfId="75" applyFont="1" applyAlignment="1">
      <alignment horizontal="center"/>
    </xf>
    <xf numFmtId="2" fontId="57" fillId="0" borderId="0" xfId="75" applyNumberFormat="1" applyFont="1"/>
    <xf numFmtId="0" fontId="87" fillId="0" borderId="0" xfId="75" applyFont="1" applyAlignment="1">
      <alignment horizontal="center" vertical="center" wrapText="1"/>
    </xf>
    <xf numFmtId="165" fontId="77" fillId="0" borderId="0" xfId="77" applyNumberFormat="1" applyFont="1" applyAlignment="1">
      <alignment horizontal="left" vertical="center"/>
    </xf>
    <xf numFmtId="2" fontId="25" fillId="0" borderId="0" xfId="0" applyNumberFormat="1" applyFont="1" applyAlignment="1">
      <alignment wrapText="1"/>
    </xf>
    <xf numFmtId="0" fontId="77" fillId="0" borderId="0" xfId="0" applyFont="1" applyAlignment="1">
      <alignment horizontal="center" wrapText="1"/>
    </xf>
    <xf numFmtId="165" fontId="79" fillId="0" borderId="0" xfId="77" applyNumberFormat="1" applyFont="1" applyAlignment="1">
      <alignment horizontal="left"/>
    </xf>
    <xf numFmtId="2" fontId="79" fillId="0" borderId="0" xfId="75" applyNumberFormat="1" applyFont="1" applyAlignment="1">
      <alignment horizontal="left"/>
    </xf>
    <xf numFmtId="3" fontId="88" fillId="0" borderId="22" xfId="75" applyNumberFormat="1" applyFont="1" applyBorder="1"/>
    <xf numFmtId="0" fontId="89" fillId="0" borderId="0" xfId="77" applyFont="1" applyAlignment="1">
      <alignment horizontal="center"/>
    </xf>
    <xf numFmtId="2" fontId="79" fillId="0" borderId="0" xfId="77" applyNumberFormat="1" applyFont="1" applyAlignment="1">
      <alignment horizontal="right"/>
    </xf>
    <xf numFmtId="3" fontId="57" fillId="0" borderId="22" xfId="75" applyNumberFormat="1" applyFont="1" applyBorder="1"/>
    <xf numFmtId="0" fontId="57" fillId="0" borderId="0" xfId="0" applyFont="1"/>
    <xf numFmtId="1" fontId="57" fillId="0" borderId="22" xfId="75" applyNumberFormat="1" applyFont="1" applyBorder="1"/>
    <xf numFmtId="0" fontId="78" fillId="0" borderId="0" xfId="0" applyFont="1" applyAlignment="1">
      <alignment horizontal="center"/>
    </xf>
    <xf numFmtId="0" fontId="57" fillId="0" borderId="21" xfId="0" applyFont="1" applyBorder="1"/>
    <xf numFmtId="0" fontId="79" fillId="0" borderId="0" xfId="0" applyFont="1" applyAlignment="1">
      <alignment horizontal="right"/>
    </xf>
    <xf numFmtId="2" fontId="57" fillId="0" borderId="32" xfId="75" applyNumberFormat="1" applyFont="1" applyBorder="1"/>
    <xf numFmtId="0" fontId="79" fillId="0" borderId="27" xfId="0" applyFont="1" applyBorder="1" applyAlignment="1">
      <alignment horizontal="right"/>
    </xf>
    <xf numFmtId="0" fontId="57" fillId="0" borderId="25" xfId="0" applyFont="1" applyBorder="1"/>
    <xf numFmtId="0" fontId="57" fillId="0" borderId="22" xfId="0" applyFont="1" applyBorder="1"/>
    <xf numFmtId="0" fontId="79" fillId="0" borderId="20" xfId="0" applyFont="1" applyBorder="1" applyAlignment="1">
      <alignment horizontal="right"/>
    </xf>
    <xf numFmtId="2" fontId="57" fillId="0" borderId="22" xfId="75" applyNumberFormat="1" applyFont="1" applyBorder="1"/>
    <xf numFmtId="3" fontId="57" fillId="0" borderId="29" xfId="75" applyNumberFormat="1" applyFont="1" applyBorder="1" applyAlignment="1" applyProtection="1">
      <alignment horizontal="right"/>
      <protection locked="0"/>
    </xf>
    <xf numFmtId="3" fontId="57" fillId="0" borderId="23" xfId="75" applyNumberFormat="1" applyFont="1" applyBorder="1"/>
    <xf numFmtId="0" fontId="52" fillId="0" borderId="21" xfId="75" applyFont="1" applyBorder="1"/>
    <xf numFmtId="0" fontId="52" fillId="0" borderId="21" xfId="75" applyFont="1" applyBorder="1" applyAlignment="1">
      <alignment horizontal="center"/>
    </xf>
    <xf numFmtId="0" fontId="88" fillId="0" borderId="21" xfId="0" applyFont="1" applyBorder="1" applyAlignment="1">
      <alignment horizontal="center"/>
    </xf>
    <xf numFmtId="2" fontId="25" fillId="0" borderId="21" xfId="0" applyNumberFormat="1" applyFont="1" applyBorder="1" applyAlignment="1">
      <alignment horizontal="center"/>
    </xf>
    <xf numFmtId="165" fontId="79" fillId="0" borderId="21" xfId="75" applyNumberFormat="1" applyFont="1" applyBorder="1" applyAlignment="1">
      <alignment horizontal="right"/>
    </xf>
    <xf numFmtId="0" fontId="57" fillId="0" borderId="0" xfId="75" applyFont="1" applyAlignment="1">
      <alignment horizontal="center" vertical="center"/>
    </xf>
    <xf numFmtId="49" fontId="90" fillId="0" borderId="22" xfId="75" applyNumberFormat="1" applyFont="1" applyBorder="1" applyAlignment="1">
      <alignment horizontal="center" vertical="center" wrapText="1"/>
    </xf>
    <xf numFmtId="49" fontId="90" fillId="0" borderId="31" xfId="75" applyNumberFormat="1" applyFont="1" applyBorder="1" applyAlignment="1">
      <alignment horizontal="center" vertical="center" wrapText="1"/>
    </xf>
    <xf numFmtId="0" fontId="77" fillId="0" borderId="22" xfId="75" applyFont="1" applyBorder="1" applyAlignment="1">
      <alignment horizontal="center" vertical="center" wrapText="1"/>
    </xf>
    <xf numFmtId="0" fontId="77" fillId="0" borderId="31" xfId="75" applyFont="1" applyBorder="1" applyAlignment="1">
      <alignment horizontal="center" vertical="center" wrapText="1"/>
    </xf>
    <xf numFmtId="49" fontId="77" fillId="0" borderId="23" xfId="75" applyNumberFormat="1" applyFont="1" applyBorder="1" applyAlignment="1">
      <alignment horizontal="center" vertical="center" wrapText="1"/>
    </xf>
    <xf numFmtId="49" fontId="77" fillId="0" borderId="22" xfId="75" applyNumberFormat="1" applyFont="1" applyBorder="1" applyAlignment="1">
      <alignment horizontal="center" vertical="center" wrapText="1"/>
    </xf>
    <xf numFmtId="1" fontId="77" fillId="0" borderId="31" xfId="75" applyNumberFormat="1" applyFont="1" applyBorder="1" applyAlignment="1">
      <alignment horizontal="center" vertical="center" wrapText="1"/>
    </xf>
    <xf numFmtId="0" fontId="95" fillId="0" borderId="22" xfId="75" applyFont="1" applyBorder="1" applyAlignment="1">
      <alignment vertical="top" wrapText="1"/>
    </xf>
    <xf numFmtId="0" fontId="95" fillId="0" borderId="23" xfId="75" applyFont="1" applyBorder="1" applyAlignment="1">
      <alignment vertical="top" wrapText="1"/>
    </xf>
    <xf numFmtId="0" fontId="95" fillId="0" borderId="24" xfId="75" applyFont="1" applyBorder="1" applyAlignment="1">
      <alignment vertical="top" wrapText="1"/>
    </xf>
    <xf numFmtId="0" fontId="95" fillId="0" borderId="23" xfId="75" applyFont="1" applyBorder="1" applyAlignment="1">
      <alignment horizontal="center" vertical="top" wrapText="1"/>
    </xf>
    <xf numFmtId="0" fontId="79" fillId="0" borderId="22" xfId="75" applyFont="1" applyBorder="1" applyAlignment="1">
      <alignment horizontal="center" vertical="center" wrapText="1"/>
    </xf>
    <xf numFmtId="4" fontId="88" fillId="4" borderId="23" xfId="75" applyNumberFormat="1" applyFont="1" applyFill="1" applyBorder="1" applyAlignment="1">
      <alignment horizontal="right" vertical="center" wrapText="1"/>
    </xf>
    <xf numFmtId="4" fontId="88" fillId="4" borderId="22" xfId="75" applyNumberFormat="1" applyFont="1" applyFill="1" applyBorder="1" applyAlignment="1">
      <alignment horizontal="right" vertical="center" wrapText="1"/>
    </xf>
    <xf numFmtId="0" fontId="95" fillId="0" borderId="0" xfId="75" applyFont="1"/>
    <xf numFmtId="0" fontId="95" fillId="0" borderId="31" xfId="75" applyFont="1" applyBorder="1" applyAlignment="1">
      <alignment vertical="top" wrapText="1"/>
    </xf>
    <xf numFmtId="0" fontId="57" fillId="0" borderId="31" xfId="75" applyFont="1" applyBorder="1" applyAlignment="1">
      <alignment vertical="top" wrapText="1"/>
    </xf>
    <xf numFmtId="0" fontId="57" fillId="0" borderId="21" xfId="75" applyFont="1" applyBorder="1" applyAlignment="1">
      <alignment vertical="top" wrapText="1"/>
    </xf>
    <xf numFmtId="0" fontId="57" fillId="0" borderId="29" xfId="75" applyFont="1" applyBorder="1" applyAlignment="1">
      <alignment vertical="top" wrapText="1"/>
    </xf>
    <xf numFmtId="0" fontId="57" fillId="0" borderId="31" xfId="75" applyFont="1" applyBorder="1" applyAlignment="1">
      <alignment horizontal="center" vertical="top" wrapText="1"/>
    </xf>
    <xf numFmtId="0" fontId="95" fillId="0" borderId="21" xfId="75" applyFont="1" applyBorder="1" applyAlignment="1">
      <alignment vertical="top" wrapText="1"/>
    </xf>
    <xf numFmtId="4" fontId="88" fillId="4" borderId="26" xfId="75" applyNumberFormat="1" applyFont="1" applyFill="1" applyBorder="1" applyAlignment="1">
      <alignment horizontal="right" vertical="center" wrapText="1"/>
    </xf>
    <xf numFmtId="4" fontId="88" fillId="4" borderId="27" xfId="75" applyNumberFormat="1" applyFont="1" applyFill="1" applyBorder="1" applyAlignment="1">
      <alignment horizontal="right" vertical="center" wrapText="1"/>
    </xf>
    <xf numFmtId="0" fontId="57" fillId="0" borderId="22" xfId="75" applyFont="1" applyBorder="1" applyAlignment="1">
      <alignment vertical="top" wrapText="1"/>
    </xf>
    <xf numFmtId="0" fontId="57" fillId="0" borderId="23" xfId="75" applyFont="1" applyBorder="1" applyAlignment="1">
      <alignment vertical="top" wrapText="1"/>
    </xf>
    <xf numFmtId="0" fontId="57" fillId="0" borderId="24" xfId="75" applyFont="1" applyBorder="1" applyAlignment="1">
      <alignment vertical="top" wrapText="1"/>
    </xf>
    <xf numFmtId="0" fontId="57" fillId="0" borderId="23" xfId="75" applyFont="1" applyBorder="1" applyAlignment="1">
      <alignment horizontal="center" vertical="top" wrapText="1"/>
    </xf>
    <xf numFmtId="0" fontId="88" fillId="0" borderId="24" xfId="75" applyFont="1" applyBorder="1" applyAlignment="1">
      <alignment vertical="top" wrapText="1"/>
    </xf>
    <xf numFmtId="4" fontId="57" fillId="4" borderId="23" xfId="75" applyNumberFormat="1" applyFont="1" applyFill="1" applyBorder="1" applyAlignment="1">
      <alignment horizontal="right" vertical="center" wrapText="1"/>
    </xf>
    <xf numFmtId="4" fontId="57" fillId="4" borderId="22" xfId="75" applyNumberFormat="1" applyFont="1" applyFill="1" applyBorder="1" applyAlignment="1">
      <alignment horizontal="right" vertical="center" wrapText="1"/>
    </xf>
    <xf numFmtId="0" fontId="57" fillId="0" borderId="25" xfId="75" applyFont="1" applyBorder="1" applyAlignment="1">
      <alignment vertical="top" wrapText="1"/>
    </xf>
    <xf numFmtId="4" fontId="57" fillId="0" borderId="31" xfId="75" applyNumberFormat="1" applyFont="1" applyBorder="1" applyAlignment="1">
      <alignment horizontal="right" vertical="center" wrapText="1"/>
    </xf>
    <xf numFmtId="4" fontId="57" fillId="0" borderId="22" xfId="75" applyNumberFormat="1" applyFont="1" applyBorder="1" applyAlignment="1">
      <alignment horizontal="right" vertical="center" wrapText="1"/>
    </xf>
    <xf numFmtId="4" fontId="57" fillId="0" borderId="23" xfId="75" applyNumberFormat="1" applyFont="1" applyBorder="1" applyAlignment="1">
      <alignment horizontal="right" vertical="center" wrapText="1"/>
    </xf>
    <xf numFmtId="0" fontId="95" fillId="0" borderId="30" xfId="75" applyFont="1" applyBorder="1" applyAlignment="1">
      <alignment vertical="top" wrapText="1"/>
    </xf>
    <xf numFmtId="0" fontId="95" fillId="0" borderId="29" xfId="75" applyFont="1" applyBorder="1" applyAlignment="1">
      <alignment vertical="top" wrapText="1"/>
    </xf>
    <xf numFmtId="4" fontId="88" fillId="4" borderId="31" xfId="75" applyNumberFormat="1" applyFont="1" applyFill="1" applyBorder="1" applyAlignment="1">
      <alignment horizontal="right" vertical="center" wrapText="1"/>
    </xf>
    <xf numFmtId="4" fontId="88" fillId="4" borderId="29" xfId="75" applyNumberFormat="1" applyFont="1" applyFill="1" applyBorder="1" applyAlignment="1">
      <alignment horizontal="right" vertical="center" wrapText="1"/>
    </xf>
    <xf numFmtId="0" fontId="88" fillId="0" borderId="21" xfId="75" applyFont="1" applyBorder="1" applyAlignment="1">
      <alignment vertical="top" wrapText="1"/>
    </xf>
    <xf numFmtId="4" fontId="57" fillId="4" borderId="27" xfId="75" applyNumberFormat="1" applyFont="1" applyFill="1" applyBorder="1" applyAlignment="1">
      <alignment horizontal="right" vertical="center" wrapText="1"/>
    </xf>
    <xf numFmtId="0" fontId="57" fillId="0" borderId="28" xfId="75" applyFont="1" applyBorder="1" applyAlignment="1">
      <alignment vertical="top" wrapText="1"/>
    </xf>
    <xf numFmtId="0" fontId="57" fillId="0" borderId="26" xfId="75" applyFont="1" applyBorder="1" applyAlignment="1">
      <alignment vertical="top" wrapText="1"/>
    </xf>
    <xf numFmtId="0" fontId="57" fillId="0" borderId="27" xfId="75" applyFont="1" applyBorder="1" applyAlignment="1">
      <alignment vertical="top" wrapText="1"/>
    </xf>
    <xf numFmtId="0" fontId="57" fillId="0" borderId="0" xfId="75" applyFont="1" applyAlignment="1">
      <alignment vertical="top" wrapText="1"/>
    </xf>
    <xf numFmtId="0" fontId="57" fillId="0" borderId="27" xfId="75" applyFont="1" applyBorder="1" applyAlignment="1">
      <alignment horizontal="center" vertical="top" wrapText="1"/>
    </xf>
    <xf numFmtId="4" fontId="57" fillId="4" borderId="33" xfId="75" applyNumberFormat="1" applyFont="1" applyFill="1" applyBorder="1" applyAlignment="1">
      <alignment horizontal="right" vertical="center" wrapText="1"/>
    </xf>
    <xf numFmtId="4" fontId="57" fillId="4" borderId="32" xfId="75" applyNumberFormat="1" applyFont="1" applyFill="1" applyBorder="1" applyAlignment="1">
      <alignment horizontal="right" vertical="center" wrapText="1"/>
    </xf>
    <xf numFmtId="1" fontId="57" fillId="0" borderId="23" xfId="75" applyNumberFormat="1" applyFont="1" applyBorder="1" applyAlignment="1">
      <alignment horizontal="center" vertical="top" wrapText="1"/>
    </xf>
    <xf numFmtId="0" fontId="57" fillId="0" borderId="30" xfId="75" applyFont="1" applyBorder="1" applyAlignment="1">
      <alignment vertical="top" wrapText="1"/>
    </xf>
    <xf numFmtId="4" fontId="57" fillId="0" borderId="0" xfId="75" applyNumberFormat="1" applyFont="1" applyAlignment="1">
      <alignment vertical="center"/>
    </xf>
    <xf numFmtId="4" fontId="57" fillId="2" borderId="22" xfId="75" applyNumberFormat="1" applyFont="1" applyFill="1" applyBorder="1" applyAlignment="1">
      <alignment horizontal="right" vertical="center" wrapText="1"/>
    </xf>
    <xf numFmtId="0" fontId="57" fillId="0" borderId="32" xfId="75" applyFont="1" applyBorder="1" applyAlignment="1">
      <alignment vertical="top" wrapText="1"/>
    </xf>
    <xf numFmtId="0" fontId="57" fillId="0" borderId="33" xfId="75" applyFont="1" applyBorder="1" applyAlignment="1">
      <alignment vertical="top" wrapText="1"/>
    </xf>
    <xf numFmtId="0" fontId="57" fillId="0" borderId="33" xfId="75" applyFont="1" applyBorder="1" applyAlignment="1">
      <alignment horizontal="center" vertical="top" wrapText="1"/>
    </xf>
    <xf numFmtId="0" fontId="88" fillId="0" borderId="20" xfId="75" applyFont="1" applyBorder="1" applyAlignment="1">
      <alignment vertical="top" wrapText="1"/>
    </xf>
    <xf numFmtId="4" fontId="57" fillId="0" borderId="33" xfId="75" applyNumberFormat="1" applyFont="1" applyBorder="1" applyAlignment="1">
      <alignment horizontal="right" vertical="center" wrapText="1"/>
    </xf>
    <xf numFmtId="0" fontId="88" fillId="0" borderId="24" xfId="75" applyFont="1" applyBorder="1" applyAlignment="1">
      <alignment horizontal="left" vertical="top" wrapText="1"/>
    </xf>
    <xf numFmtId="0" fontId="88" fillId="0" borderId="25" xfId="75" applyFont="1" applyBorder="1" applyAlignment="1">
      <alignment vertical="top" wrapText="1"/>
    </xf>
    <xf numFmtId="0" fontId="88" fillId="0" borderId="22" xfId="75" applyFont="1" applyBorder="1" applyAlignment="1">
      <alignment vertical="top" wrapText="1"/>
    </xf>
    <xf numFmtId="0" fontId="88" fillId="0" borderId="23" xfId="75" applyFont="1" applyBorder="1" applyAlignment="1">
      <alignment vertical="top" wrapText="1"/>
    </xf>
    <xf numFmtId="0" fontId="88" fillId="0" borderId="23" xfId="75" applyFont="1" applyBorder="1" applyAlignment="1">
      <alignment horizontal="center" vertical="top" wrapText="1"/>
    </xf>
    <xf numFmtId="0" fontId="95" fillId="0" borderId="30" xfId="75" applyFont="1" applyBorder="1" applyAlignment="1">
      <alignment vertical="center" wrapText="1"/>
    </xf>
    <xf numFmtId="0" fontId="95" fillId="0" borderId="29" xfId="75" applyFont="1" applyBorder="1" applyAlignment="1">
      <alignment vertical="center" wrapText="1"/>
    </xf>
    <xf numFmtId="0" fontId="95" fillId="0" borderId="21" xfId="75" applyFont="1" applyBorder="1" applyAlignment="1">
      <alignment vertical="center" wrapText="1"/>
    </xf>
    <xf numFmtId="4" fontId="57" fillId="4" borderId="31" xfId="75" applyNumberFormat="1" applyFont="1" applyFill="1" applyBorder="1" applyAlignment="1">
      <alignment horizontal="right" vertical="center" wrapText="1"/>
    </xf>
    <xf numFmtId="4" fontId="57" fillId="4" borderId="25" xfId="75" applyNumberFormat="1" applyFont="1" applyFill="1" applyBorder="1" applyAlignment="1">
      <alignment horizontal="right" vertical="center" wrapText="1"/>
    </xf>
    <xf numFmtId="0" fontId="57" fillId="0" borderId="0" xfId="75" applyFont="1" applyAlignment="1">
      <alignment vertical="top"/>
    </xf>
    <xf numFmtId="4" fontId="57" fillId="4" borderId="30" xfId="75" applyNumberFormat="1" applyFont="1" applyFill="1" applyBorder="1" applyAlignment="1">
      <alignment horizontal="right" vertical="center" wrapText="1"/>
    </xf>
    <xf numFmtId="4" fontId="57" fillId="4" borderId="29" xfId="75" applyNumberFormat="1" applyFont="1" applyFill="1" applyBorder="1" applyAlignment="1">
      <alignment horizontal="right" vertical="center" wrapText="1"/>
    </xf>
    <xf numFmtId="4" fontId="57" fillId="4" borderId="28" xfId="75" applyNumberFormat="1" applyFont="1" applyFill="1" applyBorder="1" applyAlignment="1">
      <alignment horizontal="right" vertical="center" wrapText="1"/>
    </xf>
    <xf numFmtId="4" fontId="57" fillId="4" borderId="26" xfId="75" applyNumberFormat="1" applyFont="1" applyFill="1" applyBorder="1" applyAlignment="1">
      <alignment horizontal="right" vertical="center" wrapText="1"/>
    </xf>
    <xf numFmtId="0" fontId="88" fillId="0" borderId="30" xfId="75" applyFont="1" applyBorder="1" applyAlignment="1">
      <alignment vertical="top" wrapText="1"/>
    </xf>
    <xf numFmtId="0" fontId="95" fillId="0" borderId="25" xfId="75" applyFont="1" applyBorder="1" applyAlignment="1">
      <alignment vertical="top" wrapText="1"/>
    </xf>
    <xf numFmtId="0" fontId="57" fillId="0" borderId="22" xfId="75" applyFont="1" applyBorder="1" applyAlignment="1">
      <alignment horizontal="center" vertical="top" wrapText="1"/>
    </xf>
    <xf numFmtId="0" fontId="95" fillId="0" borderId="22" xfId="75" applyFont="1" applyBorder="1" applyAlignment="1">
      <alignment horizontal="center" vertical="top" wrapText="1"/>
    </xf>
    <xf numFmtId="0" fontId="57" fillId="0" borderId="29" xfId="75" applyFont="1" applyBorder="1" applyAlignment="1">
      <alignment horizontal="center" vertical="top" wrapText="1"/>
    </xf>
    <xf numFmtId="0" fontId="57" fillId="0" borderId="26" xfId="75" applyFont="1" applyBorder="1" applyAlignment="1">
      <alignment horizontal="center" vertical="top" wrapText="1"/>
    </xf>
    <xf numFmtId="0" fontId="88" fillId="0" borderId="0" xfId="75" applyFont="1" applyAlignment="1">
      <alignment vertical="top" wrapText="1"/>
    </xf>
    <xf numFmtId="0" fontId="88" fillId="0" borderId="28" xfId="75" applyFont="1" applyBorder="1" applyAlignment="1">
      <alignment vertical="top" wrapText="1"/>
    </xf>
    <xf numFmtId="0" fontId="88" fillId="0" borderId="26" xfId="75" applyFont="1" applyBorder="1" applyAlignment="1">
      <alignment vertical="top" wrapText="1"/>
    </xf>
    <xf numFmtId="0" fontId="88" fillId="0" borderId="27" xfId="75" applyFont="1" applyBorder="1" applyAlignment="1">
      <alignment vertical="top" wrapText="1"/>
    </xf>
    <xf numFmtId="0" fontId="88" fillId="0" borderId="26" xfId="75" applyFont="1" applyBorder="1" applyAlignment="1">
      <alignment horizontal="center" vertical="top" wrapText="1"/>
    </xf>
    <xf numFmtId="0" fontId="95" fillId="0" borderId="24" xfId="75" applyFont="1" applyBorder="1" applyAlignment="1">
      <alignment vertical="center" wrapText="1"/>
    </xf>
    <xf numFmtId="4" fontId="57" fillId="4" borderId="23" xfId="75" applyNumberFormat="1" applyFont="1" applyFill="1" applyBorder="1" applyAlignment="1">
      <alignment horizontal="right" vertical="center"/>
    </xf>
    <xf numFmtId="4" fontId="57" fillId="4" borderId="25" xfId="75" applyNumberFormat="1" applyFont="1" applyFill="1" applyBorder="1" applyAlignment="1">
      <alignment horizontal="right" vertical="center"/>
    </xf>
    <xf numFmtId="4" fontId="57" fillId="4" borderId="22" xfId="75" applyNumberFormat="1" applyFont="1" applyFill="1" applyBorder="1" applyAlignment="1">
      <alignment horizontal="right" vertical="center"/>
    </xf>
    <xf numFmtId="0" fontId="57" fillId="0" borderId="20" xfId="75" applyFont="1" applyBorder="1" applyAlignment="1">
      <alignment vertical="top" wrapText="1"/>
    </xf>
    <xf numFmtId="0" fontId="57" fillId="0" borderId="32" xfId="75" applyFont="1" applyBorder="1" applyAlignment="1">
      <alignment horizontal="center" vertical="top" wrapText="1"/>
    </xf>
    <xf numFmtId="4" fontId="57" fillId="4" borderId="34" xfId="75" applyNumberFormat="1" applyFont="1" applyFill="1" applyBorder="1" applyAlignment="1">
      <alignment horizontal="right" vertical="center" wrapText="1"/>
    </xf>
    <xf numFmtId="0" fontId="29" fillId="0" borderId="22" xfId="0" applyFont="1" applyBorder="1" applyAlignment="1">
      <alignment wrapText="1"/>
    </xf>
    <xf numFmtId="0" fontId="29" fillId="0" borderId="0" xfId="0" applyFont="1" applyAlignment="1">
      <alignment wrapText="1"/>
    </xf>
    <xf numFmtId="4" fontId="57" fillId="0" borderId="24" xfId="75" applyNumberFormat="1" applyFont="1" applyBorder="1" applyAlignment="1">
      <alignment horizontal="right" vertical="center" wrapText="1"/>
    </xf>
    <xf numFmtId="4" fontId="57" fillId="0" borderId="29" xfId="75" applyNumberFormat="1" applyFont="1" applyBorder="1" applyAlignment="1">
      <alignment horizontal="right" vertical="center" wrapText="1"/>
    </xf>
    <xf numFmtId="0" fontId="57" fillId="0" borderId="34" xfId="75" applyFont="1" applyBorder="1" applyAlignment="1">
      <alignment vertical="top" wrapText="1"/>
    </xf>
    <xf numFmtId="0" fontId="95" fillId="0" borderId="31" xfId="75" applyFont="1" applyBorder="1" applyAlignment="1">
      <alignment horizontal="center" vertical="top" wrapText="1"/>
    </xf>
    <xf numFmtId="4" fontId="57" fillId="0" borderId="32" xfId="75" applyNumberFormat="1" applyFont="1" applyBorder="1" applyAlignment="1">
      <alignment horizontal="right" vertical="center" wrapText="1"/>
    </xf>
    <xf numFmtId="0" fontId="88" fillId="0" borderId="32" xfId="75" applyFont="1" applyBorder="1" applyAlignment="1">
      <alignment vertical="top" wrapText="1"/>
    </xf>
    <xf numFmtId="0" fontId="88" fillId="0" borderId="33" xfId="75" applyFont="1" applyBorder="1" applyAlignment="1">
      <alignment vertical="top" wrapText="1"/>
    </xf>
    <xf numFmtId="0" fontId="88" fillId="0" borderId="33" xfId="75" applyFont="1" applyBorder="1" applyAlignment="1">
      <alignment horizontal="center" vertical="top" wrapText="1"/>
    </xf>
    <xf numFmtId="4" fontId="57" fillId="0" borderId="34" xfId="75" applyNumberFormat="1" applyFont="1" applyBorder="1" applyAlignment="1">
      <alignment horizontal="right" vertical="center" wrapText="1"/>
    </xf>
    <xf numFmtId="0" fontId="88" fillId="0" borderId="27" xfId="75" applyFont="1" applyBorder="1" applyAlignment="1">
      <alignment horizontal="center" vertical="top" wrapText="1"/>
    </xf>
    <xf numFmtId="4" fontId="57" fillId="0" borderId="26" xfId="75" applyNumberFormat="1" applyFont="1" applyBorder="1" applyAlignment="1">
      <alignment horizontal="right" vertical="center" wrapText="1"/>
    </xf>
    <xf numFmtId="4" fontId="57" fillId="0" borderId="27" xfId="75" applyNumberFormat="1" applyFont="1" applyBorder="1" applyAlignment="1">
      <alignment horizontal="right" vertical="center" wrapText="1"/>
    </xf>
    <xf numFmtId="1" fontId="57" fillId="0" borderId="22" xfId="75" applyNumberFormat="1" applyFont="1" applyBorder="1" applyAlignment="1">
      <alignment horizontal="right" vertical="center" wrapText="1"/>
    </xf>
    <xf numFmtId="0" fontId="88" fillId="0" borderId="24" xfId="75" applyFont="1" applyBorder="1" applyAlignment="1">
      <alignment vertical="center" wrapText="1"/>
    </xf>
    <xf numFmtId="4" fontId="88" fillId="4" borderId="25" xfId="75" applyNumberFormat="1" applyFont="1" applyFill="1" applyBorder="1" applyAlignment="1">
      <alignment horizontal="right" vertical="center" wrapText="1"/>
    </xf>
    <xf numFmtId="0" fontId="57" fillId="0" borderId="21" xfId="75" applyFont="1" applyBorder="1" applyAlignment="1">
      <alignment horizontal="center" vertical="top" wrapText="1"/>
    </xf>
    <xf numFmtId="0" fontId="57" fillId="0" borderId="24" xfId="75" applyFont="1" applyBorder="1" applyAlignment="1">
      <alignment horizontal="center" vertical="top" wrapText="1"/>
    </xf>
    <xf numFmtId="0" fontId="57" fillId="0" borderId="48" xfId="75" applyFont="1" applyBorder="1" applyAlignment="1">
      <alignment vertical="top" wrapText="1"/>
    </xf>
    <xf numFmtId="0" fontId="57" fillId="0" borderId="49" xfId="75" applyFont="1" applyBorder="1" applyAlignment="1">
      <alignment vertical="top" wrapText="1"/>
    </xf>
    <xf numFmtId="0" fontId="57" fillId="0" borderId="49" xfId="75" applyFont="1" applyBorder="1" applyAlignment="1">
      <alignment horizontal="center" vertical="top" wrapText="1"/>
    </xf>
    <xf numFmtId="0" fontId="29" fillId="0" borderId="48" xfId="0" applyFont="1" applyBorder="1" applyAlignment="1">
      <alignment wrapText="1"/>
    </xf>
    <xf numFmtId="4" fontId="57" fillId="0" borderId="21" xfId="75" applyNumberFormat="1" applyFont="1" applyBorder="1" applyAlignment="1">
      <alignment horizontal="right" vertical="center" wrapText="1"/>
    </xf>
    <xf numFmtId="4" fontId="57" fillId="0" borderId="25" xfId="75" applyNumberFormat="1" applyFont="1" applyBorder="1" applyAlignment="1">
      <alignment horizontal="right" vertical="center" wrapText="1"/>
    </xf>
    <xf numFmtId="0" fontId="88" fillId="0" borderId="50" xfId="75" applyFont="1" applyBorder="1" applyAlignment="1">
      <alignment vertical="top" wrapText="1"/>
    </xf>
    <xf numFmtId="165" fontId="57" fillId="5" borderId="31" xfId="75" applyNumberFormat="1" applyFont="1" applyFill="1" applyBorder="1" applyAlignment="1">
      <alignment horizontal="right" vertical="center" wrapText="1"/>
    </xf>
    <xf numFmtId="0" fontId="96" fillId="0" borderId="33" xfId="75" applyFont="1" applyBorder="1" applyAlignment="1">
      <alignment horizontal="center" vertical="top" wrapText="1"/>
    </xf>
    <xf numFmtId="0" fontId="97" fillId="0" borderId="23" xfId="75" applyFont="1" applyBorder="1" applyAlignment="1">
      <alignment vertical="top" wrapText="1"/>
    </xf>
    <xf numFmtId="0" fontId="97" fillId="0" borderId="23" xfId="75" applyFont="1" applyBorder="1" applyAlignment="1">
      <alignment horizontal="center" vertical="top" wrapText="1"/>
    </xf>
    <xf numFmtId="4" fontId="57" fillId="4" borderId="24" xfId="75" applyNumberFormat="1" applyFont="1" applyFill="1" applyBorder="1" applyAlignment="1">
      <alignment horizontal="right" vertical="center" wrapText="1"/>
    </xf>
    <xf numFmtId="4" fontId="88" fillId="4" borderId="24" xfId="75" applyNumberFormat="1" applyFont="1" applyFill="1" applyBorder="1" applyAlignment="1">
      <alignment horizontal="right" vertical="center" wrapText="1"/>
    </xf>
    <xf numFmtId="4" fontId="57" fillId="4" borderId="21" xfId="75" applyNumberFormat="1" applyFont="1" applyFill="1" applyBorder="1" applyAlignment="1">
      <alignment horizontal="right" vertical="center" wrapText="1"/>
    </xf>
    <xf numFmtId="165" fontId="57" fillId="3" borderId="23" xfId="75" applyNumberFormat="1" applyFont="1" applyFill="1" applyBorder="1" applyAlignment="1">
      <alignment horizontal="right" vertical="center" wrapText="1"/>
    </xf>
    <xf numFmtId="4" fontId="57" fillId="0" borderId="20" xfId="75" applyNumberFormat="1" applyFont="1" applyBorder="1" applyAlignment="1">
      <alignment horizontal="right" vertical="center" wrapText="1"/>
    </xf>
    <xf numFmtId="4" fontId="57" fillId="4" borderId="20" xfId="75" applyNumberFormat="1" applyFont="1" applyFill="1" applyBorder="1" applyAlignment="1">
      <alignment horizontal="right" vertical="center" wrapText="1"/>
    </xf>
    <xf numFmtId="0" fontId="57" fillId="0" borderId="25" xfId="75" applyFont="1" applyBorder="1"/>
    <xf numFmtId="0" fontId="57" fillId="0" borderId="22" xfId="75" applyFont="1" applyBorder="1"/>
    <xf numFmtId="0" fontId="57" fillId="0" borderId="23" xfId="75" applyFont="1" applyBorder="1"/>
    <xf numFmtId="0" fontId="57" fillId="0" borderId="24" xfId="75" applyFont="1" applyBorder="1"/>
    <xf numFmtId="0" fontId="57" fillId="0" borderId="22" xfId="75" applyFont="1" applyBorder="1" applyAlignment="1">
      <alignment horizontal="center"/>
    </xf>
    <xf numFmtId="0" fontId="95" fillId="0" borderId="24" xfId="75" applyFont="1" applyBorder="1"/>
    <xf numFmtId="4" fontId="95" fillId="4" borderId="23" xfId="75" applyNumberFormat="1" applyFont="1" applyFill="1" applyBorder="1" applyAlignment="1">
      <alignment horizontal="right" vertical="center"/>
    </xf>
    <xf numFmtId="165" fontId="88" fillId="0" borderId="20" xfId="75" applyNumberFormat="1" applyFont="1" applyBorder="1" applyAlignment="1">
      <alignment horizontal="right" vertical="center"/>
    </xf>
    <xf numFmtId="165" fontId="88" fillId="0" borderId="0" xfId="75" applyNumberFormat="1" applyFont="1" applyAlignment="1">
      <alignment horizontal="right" vertical="center"/>
    </xf>
    <xf numFmtId="2" fontId="88" fillId="0" borderId="0" xfId="75" applyNumberFormat="1" applyFont="1" applyAlignment="1">
      <alignment horizontal="right" vertical="center"/>
    </xf>
    <xf numFmtId="0" fontId="57" fillId="0" borderId="0" xfId="75" applyFont="1" applyAlignment="1">
      <alignment vertical="center"/>
    </xf>
    <xf numFmtId="0" fontId="25" fillId="0" borderId="0" xfId="0" applyFont="1" applyAlignment="1">
      <alignment horizontal="center"/>
    </xf>
    <xf numFmtId="0" fontId="99" fillId="0" borderId="20" xfId="75" applyFont="1" applyBorder="1" applyAlignment="1">
      <alignment horizontal="center" vertical="top"/>
    </xf>
    <xf numFmtId="4" fontId="26" fillId="0" borderId="0" xfId="0" applyNumberFormat="1" applyFont="1" applyAlignment="1">
      <alignment horizontal="right"/>
    </xf>
    <xf numFmtId="0" fontId="75" fillId="0" borderId="1" xfId="0" applyFont="1" applyBorder="1" applyAlignment="1">
      <alignment horizontal="center" vertical="top" wrapText="1"/>
    </xf>
    <xf numFmtId="4" fontId="75" fillId="0" borderId="47" xfId="0" applyNumberFormat="1" applyFont="1" applyBorder="1" applyAlignment="1">
      <alignment horizontal="center" vertical="center" wrapText="1"/>
    </xf>
    <xf numFmtId="0" fontId="69" fillId="0" borderId="0" xfId="65" applyFont="1" applyAlignment="1">
      <alignment vertical="center"/>
    </xf>
    <xf numFmtId="0" fontId="69" fillId="0" borderId="0" xfId="65" applyFont="1" applyAlignment="1">
      <alignment vertical="center" wrapText="1"/>
    </xf>
    <xf numFmtId="0" fontId="69" fillId="0" borderId="0" xfId="65" applyFont="1"/>
    <xf numFmtId="0" fontId="69" fillId="0" borderId="0" xfId="65" applyFont="1" applyAlignment="1">
      <alignment wrapText="1"/>
    </xf>
    <xf numFmtId="0" fontId="69" fillId="0" borderId="0" xfId="77" applyFont="1"/>
    <xf numFmtId="0" fontId="58" fillId="0" borderId="0" xfId="65" applyFont="1" applyAlignment="1">
      <alignment vertical="center"/>
    </xf>
    <xf numFmtId="0" fontId="69" fillId="0" borderId="0" xfId="65" applyFont="1" applyAlignment="1">
      <alignment horizontal="center"/>
    </xf>
    <xf numFmtId="0" fontId="69" fillId="0" borderId="0" xfId="77" applyFont="1" applyAlignment="1">
      <alignment vertical="center" wrapText="1"/>
    </xf>
    <xf numFmtId="49" fontId="69" fillId="0" borderId="0" xfId="79" applyNumberFormat="1" applyFont="1" applyAlignment="1">
      <alignment horizontal="left" vertical="top" wrapText="1"/>
    </xf>
    <xf numFmtId="0" fontId="69" fillId="0" borderId="1" xfId="65" applyFont="1" applyBorder="1"/>
    <xf numFmtId="1" fontId="69" fillId="0" borderId="1" xfId="65" applyNumberFormat="1" applyFont="1" applyBorder="1" applyProtection="1">
      <protection locked="0"/>
    </xf>
    <xf numFmtId="1" fontId="69" fillId="0" borderId="0" xfId="65" applyNumberFormat="1" applyFont="1" applyProtection="1">
      <protection locked="0"/>
    </xf>
    <xf numFmtId="49" fontId="69" fillId="0" borderId="24" xfId="79" applyNumberFormat="1" applyFont="1" applyBorder="1"/>
    <xf numFmtId="165" fontId="69" fillId="0" borderId="24" xfId="79" applyNumberFormat="1" applyFont="1" applyBorder="1"/>
    <xf numFmtId="165" fontId="69" fillId="0" borderId="0" xfId="79" applyNumberFormat="1" applyFont="1"/>
    <xf numFmtId="49" fontId="69" fillId="0" borderId="0" xfId="79" applyNumberFormat="1" applyFont="1" applyAlignment="1">
      <alignment horizontal="left"/>
    </xf>
    <xf numFmtId="49" fontId="69" fillId="0" borderId="0" xfId="79" applyNumberFormat="1" applyFont="1" applyAlignment="1">
      <alignment horizontal="center"/>
    </xf>
    <xf numFmtId="165" fontId="69" fillId="0" borderId="0" xfId="79" applyNumberFormat="1" applyFont="1" applyAlignment="1">
      <alignment horizontal="center"/>
    </xf>
    <xf numFmtId="1" fontId="69" fillId="0" borderId="1" xfId="79" applyNumberFormat="1" applyFont="1" applyBorder="1" applyAlignment="1">
      <alignment horizontal="center"/>
    </xf>
    <xf numFmtId="49" fontId="69" fillId="0" borderId="24" xfId="79" applyNumberFormat="1" applyFont="1" applyBorder="1" applyAlignment="1">
      <alignment horizontal="left"/>
    </xf>
    <xf numFmtId="49" fontId="69" fillId="0" borderId="24" xfId="79" applyNumberFormat="1" applyFont="1" applyBorder="1" applyAlignment="1">
      <alignment horizontal="center"/>
    </xf>
    <xf numFmtId="165" fontId="69" fillId="0" borderId="24" xfId="79" applyNumberFormat="1" applyFont="1" applyBorder="1" applyAlignment="1">
      <alignment horizontal="center"/>
    </xf>
    <xf numFmtId="165" fontId="69" fillId="0" borderId="21" xfId="79" applyNumberFormat="1" applyFont="1" applyBorder="1" applyAlignment="1">
      <alignment horizontal="center"/>
    </xf>
    <xf numFmtId="0" fontId="61" fillId="0" borderId="3" xfId="65" applyFont="1" applyBorder="1" applyAlignment="1">
      <alignment horizontal="center" vertical="center" wrapText="1"/>
    </xf>
    <xf numFmtId="0" fontId="61" fillId="0" borderId="56" xfId="65" applyFont="1" applyBorder="1" applyAlignment="1">
      <alignment horizontal="center" vertical="center" wrapText="1"/>
    </xf>
    <xf numFmtId="0" fontId="61" fillId="0" borderId="18" xfId="65" applyFont="1" applyBorder="1" applyAlignment="1">
      <alignment horizontal="center" vertical="center" wrapText="1"/>
    </xf>
    <xf numFmtId="0" fontId="61" fillId="0" borderId="14" xfId="65" applyFont="1" applyBorder="1" applyAlignment="1">
      <alignment horizontal="center" vertical="center"/>
    </xf>
    <xf numFmtId="0" fontId="61" fillId="0" borderId="14" xfId="65" applyFont="1" applyBorder="1" applyAlignment="1">
      <alignment horizontal="center" vertical="center" wrapText="1"/>
    </xf>
    <xf numFmtId="0" fontId="61" fillId="0" borderId="47" xfId="65" applyFont="1" applyBorder="1" applyAlignment="1">
      <alignment horizontal="center" vertical="center" wrapText="1"/>
    </xf>
    <xf numFmtId="0" fontId="58" fillId="0" borderId="57" xfId="65" applyFont="1" applyBorder="1" applyAlignment="1">
      <alignment horizontal="left" vertical="center" wrapText="1"/>
    </xf>
    <xf numFmtId="0" fontId="58" fillId="0" borderId="29" xfId="65" applyFont="1" applyBorder="1" applyAlignment="1">
      <alignment horizontal="center" vertical="center" wrapText="1"/>
    </xf>
    <xf numFmtId="0" fontId="58" fillId="0" borderId="58" xfId="65" applyFont="1" applyBorder="1" applyAlignment="1">
      <alignment horizontal="center" vertical="center" wrapText="1"/>
    </xf>
    <xf numFmtId="0" fontId="58" fillId="0" borderId="59" xfId="65" applyFont="1" applyBorder="1" applyAlignment="1">
      <alignment horizontal="left" vertical="center" wrapText="1"/>
    </xf>
    <xf numFmtId="0" fontId="58" fillId="0" borderId="22" xfId="65" applyFont="1" applyBorder="1" applyAlignment="1">
      <alignment horizontal="center" vertical="center" wrapText="1"/>
    </xf>
    <xf numFmtId="166" fontId="58" fillId="0" borderId="60" xfId="65" applyNumberFormat="1" applyFont="1" applyBorder="1" applyAlignment="1">
      <alignment horizontal="center" vertical="center" wrapText="1"/>
    </xf>
    <xf numFmtId="0" fontId="58" fillId="2" borderId="22" xfId="65" applyFont="1" applyFill="1" applyBorder="1" applyAlignment="1">
      <alignment horizontal="center" vertical="center" wrapText="1"/>
    </xf>
    <xf numFmtId="4" fontId="58" fillId="0" borderId="22" xfId="65" applyNumberFormat="1" applyFont="1" applyBorder="1" applyAlignment="1">
      <alignment horizontal="center" vertical="center" wrapText="1"/>
    </xf>
    <xf numFmtId="4" fontId="58" fillId="0" borderId="60" xfId="65" applyNumberFormat="1" applyFont="1" applyBorder="1" applyAlignment="1">
      <alignment horizontal="center" vertical="center" wrapText="1"/>
    </xf>
    <xf numFmtId="4" fontId="69" fillId="0" borderId="0" xfId="65" applyNumberFormat="1" applyFont="1" applyAlignment="1">
      <alignment vertical="center"/>
    </xf>
    <xf numFmtId="4" fontId="69" fillId="0" borderId="22" xfId="65" applyNumberFormat="1" applyFont="1" applyBorder="1" applyAlignment="1">
      <alignment horizontal="center" vertical="center" wrapText="1"/>
    </xf>
    <xf numFmtId="0" fontId="58" fillId="2" borderId="59" xfId="65" applyFont="1" applyFill="1" applyBorder="1" applyAlignment="1">
      <alignment horizontal="left" vertical="center" wrapText="1"/>
    </xf>
    <xf numFmtId="0" fontId="58" fillId="2" borderId="61" xfId="65" applyFont="1" applyFill="1" applyBorder="1" applyAlignment="1">
      <alignment horizontal="left" vertical="center" wrapText="1"/>
    </xf>
    <xf numFmtId="0" fontId="58" fillId="0" borderId="62" xfId="65" applyFont="1" applyBorder="1" applyAlignment="1">
      <alignment horizontal="center" vertical="center" wrapText="1"/>
    </xf>
    <xf numFmtId="0" fontId="58" fillId="0" borderId="63" xfId="65" applyFont="1" applyBorder="1" applyAlignment="1">
      <alignment horizontal="center" vertical="center" wrapText="1"/>
    </xf>
    <xf numFmtId="0" fontId="46" fillId="0" borderId="2" xfId="15" applyFont="1" applyBorder="1" applyAlignment="1">
      <alignment horizontal="left" vertical="center" wrapText="1"/>
    </xf>
    <xf numFmtId="4" fontId="46" fillId="0" borderId="47" xfId="8" applyNumberFormat="1" applyFont="1" applyBorder="1" applyAlignment="1">
      <alignment vertical="center"/>
    </xf>
    <xf numFmtId="49" fontId="46" fillId="0" borderId="0" xfId="8" applyNumberFormat="1" applyFont="1" applyAlignment="1">
      <alignment horizontal="right" vertical="center"/>
    </xf>
    <xf numFmtId="0" fontId="46" fillId="0" borderId="0" xfId="8" applyFont="1" applyAlignment="1">
      <alignment horizontal="right" vertical="top"/>
    </xf>
    <xf numFmtId="0" fontId="56" fillId="0" borderId="1" xfId="15" applyFont="1" applyBorder="1" applyAlignment="1">
      <alignment horizontal="center" vertical="center" wrapText="1"/>
    </xf>
    <xf numFmtId="0" fontId="56" fillId="0" borderId="1" xfId="4" applyFont="1" applyBorder="1" applyAlignment="1">
      <alignment horizontal="center" vertical="center" wrapText="1"/>
    </xf>
    <xf numFmtId="1" fontId="56" fillId="0" borderId="1" xfId="15" applyNumberFormat="1" applyFont="1" applyBorder="1" applyAlignment="1">
      <alignment horizontal="center" vertical="center"/>
    </xf>
    <xf numFmtId="3" fontId="103" fillId="0" borderId="1" xfId="55" applyNumberFormat="1" applyFont="1" applyBorder="1" applyAlignment="1">
      <alignment horizontal="right" vertical="center"/>
    </xf>
    <xf numFmtId="49" fontId="26" fillId="0" borderId="1" xfId="0" applyNumberFormat="1" applyFont="1" applyBorder="1" applyAlignment="1">
      <alignment vertical="center" wrapText="1"/>
    </xf>
    <xf numFmtId="0" fontId="40" fillId="0" borderId="0" xfId="0" applyFont="1" applyAlignment="1">
      <alignment horizontal="center"/>
    </xf>
    <xf numFmtId="0" fontId="47" fillId="0" borderId="0" xfId="0" applyFont="1" applyAlignment="1">
      <alignment horizontal="left" vertical="center" wrapText="1"/>
    </xf>
    <xf numFmtId="0" fontId="47" fillId="0" borderId="0" xfId="0" applyFont="1" applyAlignment="1">
      <alignment horizontal="center"/>
    </xf>
    <xf numFmtId="0" fontId="47" fillId="0" borderId="0" xfId="0" applyFont="1" applyAlignment="1">
      <alignment horizontal="left" wrapText="1"/>
    </xf>
    <xf numFmtId="0" fontId="48" fillId="0" borderId="0" xfId="8" applyFont="1" applyAlignment="1">
      <alignment horizontal="center"/>
    </xf>
    <xf numFmtId="0" fontId="47" fillId="0" borderId="0" xfId="69" applyFont="1" applyAlignment="1">
      <alignment horizontal="center"/>
    </xf>
    <xf numFmtId="0" fontId="46" fillId="0" borderId="6" xfId="55" applyFont="1" applyBorder="1" applyAlignment="1">
      <alignment horizontal="center" vertical="center" wrapText="1"/>
    </xf>
    <xf numFmtId="0" fontId="46" fillId="0" borderId="5" xfId="55" applyFont="1" applyBorder="1" applyAlignment="1">
      <alignment horizontal="center" vertical="center" wrapText="1"/>
    </xf>
    <xf numFmtId="0" fontId="46" fillId="0" borderId="4" xfId="55" applyFont="1" applyBorder="1" applyAlignment="1">
      <alignment horizontal="center" vertical="center" wrapText="1"/>
    </xf>
    <xf numFmtId="0" fontId="46" fillId="0" borderId="1" xfId="55" applyFont="1" applyBorder="1" applyAlignment="1">
      <alignment horizontal="center" vertical="center" wrapText="1"/>
    </xf>
    <xf numFmtId="0" fontId="46" fillId="0" borderId="12" xfId="55" applyFont="1" applyBorder="1" applyAlignment="1">
      <alignment horizontal="center" vertical="center" wrapText="1"/>
    </xf>
    <xf numFmtId="0" fontId="47" fillId="0" borderId="11" xfId="69" applyFont="1" applyBorder="1" applyAlignment="1">
      <alignment horizontal="center" vertical="center" wrapText="1"/>
    </xf>
    <xf numFmtId="0" fontId="47" fillId="0" borderId="10" xfId="69" applyFont="1" applyBorder="1" applyAlignment="1">
      <alignment horizontal="center" vertical="center" wrapText="1"/>
    </xf>
    <xf numFmtId="0" fontId="47" fillId="0" borderId="9" xfId="69" applyFont="1" applyBorder="1" applyAlignment="1">
      <alignment horizontal="center" vertical="center" wrapText="1"/>
    </xf>
    <xf numFmtId="0" fontId="46" fillId="0" borderId="6" xfId="55" applyFont="1" applyBorder="1" applyAlignment="1">
      <alignment horizontal="center" vertical="center"/>
    </xf>
    <xf numFmtId="0" fontId="46" fillId="0" borderId="5" xfId="55" applyFont="1" applyBorder="1" applyAlignment="1">
      <alignment horizontal="center" vertical="center"/>
    </xf>
    <xf numFmtId="0" fontId="46" fillId="0" borderId="4" xfId="55" applyFont="1" applyBorder="1" applyAlignment="1">
      <alignment horizontal="center" vertical="center"/>
    </xf>
    <xf numFmtId="0" fontId="45" fillId="0" borderId="1" xfId="55" applyFont="1" applyBorder="1" applyAlignment="1">
      <alignment horizontal="center" vertical="center" wrapText="1"/>
    </xf>
    <xf numFmtId="0" fontId="46" fillId="0" borderId="3" xfId="55" applyFont="1" applyBorder="1" applyAlignment="1">
      <alignment horizontal="center" vertical="center" wrapText="1"/>
    </xf>
    <xf numFmtId="0" fontId="46" fillId="0" borderId="8" xfId="55" applyFont="1" applyBorder="1" applyAlignment="1">
      <alignment horizontal="center" vertical="center" wrapText="1"/>
    </xf>
    <xf numFmtId="0" fontId="46" fillId="0" borderId="2" xfId="55" applyFont="1" applyBorder="1" applyAlignment="1">
      <alignment horizontal="center" vertical="center" wrapText="1"/>
    </xf>
    <xf numFmtId="0" fontId="46" fillId="0" borderId="3" xfId="55" applyFont="1" applyBorder="1" applyAlignment="1">
      <alignment horizontal="center" vertical="center"/>
    </xf>
    <xf numFmtId="0" fontId="46" fillId="0" borderId="2" xfId="55" applyFont="1" applyBorder="1" applyAlignment="1">
      <alignment horizontal="center" vertical="center"/>
    </xf>
    <xf numFmtId="49" fontId="46" fillId="0" borderId="1" xfId="55" applyNumberFormat="1" applyFont="1" applyBorder="1" applyAlignment="1">
      <alignment horizontal="right" vertical="center"/>
    </xf>
    <xf numFmtId="0" fontId="47" fillId="0" borderId="5" xfId="69" applyFont="1" applyBorder="1" applyAlignment="1">
      <alignment horizontal="center" vertical="center" wrapText="1"/>
    </xf>
    <xf numFmtId="0" fontId="47" fillId="0" borderId="4" xfId="69" applyFont="1" applyBorder="1" applyAlignment="1">
      <alignment horizontal="center" vertical="center" wrapText="1"/>
    </xf>
    <xf numFmtId="0" fontId="45" fillId="0" borderId="0" xfId="55" applyFont="1"/>
    <xf numFmtId="0" fontId="56" fillId="0" borderId="0" xfId="60" applyFont="1"/>
    <xf numFmtId="0" fontId="46" fillId="0" borderId="0" xfId="55" applyFont="1" applyAlignment="1">
      <alignment horizontal="center" vertical="center"/>
    </xf>
    <xf numFmtId="0" fontId="46" fillId="0" borderId="0" xfId="55" applyFont="1" applyAlignment="1">
      <alignment horizontal="center"/>
    </xf>
    <xf numFmtId="3" fontId="45" fillId="0" borderId="6" xfId="55" applyNumberFormat="1" applyFont="1" applyBorder="1" applyAlignment="1">
      <alignment horizontal="right" vertical="center" wrapText="1"/>
    </xf>
    <xf numFmtId="3" fontId="47" fillId="0" borderId="4" xfId="69" applyNumberFormat="1" applyFont="1" applyBorder="1" applyAlignment="1">
      <alignment horizontal="right" vertical="center" wrapText="1"/>
    </xf>
    <xf numFmtId="0" fontId="49" fillId="0" borderId="6" xfId="55" applyFont="1" applyBorder="1" applyAlignment="1">
      <alignment horizontal="center" vertical="center" wrapText="1"/>
    </xf>
    <xf numFmtId="0" fontId="46" fillId="0" borderId="1" xfId="55" applyFont="1" applyBorder="1" applyAlignment="1">
      <alignment horizontal="center" vertical="center"/>
    </xf>
    <xf numFmtId="0" fontId="46" fillId="0" borderId="10" xfId="55" applyFont="1" applyBorder="1" applyAlignment="1">
      <alignment horizontal="center" vertical="center" wrapText="1"/>
    </xf>
    <xf numFmtId="0" fontId="45" fillId="0" borderId="0" xfId="55" applyFont="1" applyAlignment="1">
      <alignment horizontal="center" vertical="center"/>
    </xf>
    <xf numFmtId="0" fontId="49" fillId="0" borderId="0" xfId="55" applyFont="1" applyAlignment="1">
      <alignment horizontal="left"/>
    </xf>
    <xf numFmtId="0" fontId="45" fillId="0" borderId="1" xfId="69" applyFont="1" applyBorder="1" applyAlignment="1">
      <alignment horizontal="center" vertical="center"/>
    </xf>
    <xf numFmtId="0" fontId="45" fillId="0" borderId="0" xfId="55" applyFont="1" applyAlignment="1">
      <alignment horizontal="center"/>
    </xf>
    <xf numFmtId="0" fontId="45" fillId="0" borderId="0" xfId="8" applyFont="1" applyAlignment="1">
      <alignment horizontal="center" vertical="center" wrapText="1"/>
    </xf>
    <xf numFmtId="3" fontId="46" fillId="0" borderId="6" xfId="55" applyNumberFormat="1" applyFont="1" applyBorder="1" applyAlignment="1">
      <alignment horizontal="right" vertical="center" wrapText="1"/>
    </xf>
    <xf numFmtId="3" fontId="40" fillId="0" borderId="4" xfId="69" applyNumberFormat="1" applyFont="1" applyBorder="1" applyAlignment="1">
      <alignment horizontal="right" vertical="center" wrapText="1"/>
    </xf>
    <xf numFmtId="49" fontId="45" fillId="0" borderId="1" xfId="55" applyNumberFormat="1" applyFont="1" applyBorder="1" applyAlignment="1">
      <alignment horizontal="center" vertical="center" wrapText="1"/>
    </xf>
    <xf numFmtId="49" fontId="45" fillId="0" borderId="3" xfId="55" applyNumberFormat="1" applyFont="1" applyBorder="1" applyAlignment="1">
      <alignment horizontal="center" vertical="center" wrapText="1"/>
    </xf>
    <xf numFmtId="0" fontId="47" fillId="0" borderId="2" xfId="69" applyFont="1" applyBorder="1" applyAlignment="1">
      <alignment horizontal="center" vertical="center" wrapText="1"/>
    </xf>
    <xf numFmtId="0" fontId="40" fillId="0" borderId="1" xfId="69" applyFont="1" applyBorder="1" applyAlignment="1">
      <alignment horizontal="center" vertical="center" wrapText="1"/>
    </xf>
    <xf numFmtId="0" fontId="45" fillId="0" borderId="0" xfId="55" applyFont="1" applyAlignment="1">
      <alignment horizontal="left" wrapText="1"/>
    </xf>
    <xf numFmtId="3" fontId="45" fillId="0" borderId="0" xfId="55" applyNumberFormat="1" applyFont="1" applyAlignment="1">
      <alignment horizontal="left"/>
    </xf>
    <xf numFmtId="0" fontId="45" fillId="0" borderId="0" xfId="34" applyFont="1" applyAlignment="1">
      <alignment horizontal="center" vertical="top"/>
    </xf>
    <xf numFmtId="0" fontId="45" fillId="0" borderId="0" xfId="1" applyFont="1" applyAlignment="1">
      <alignment horizontal="center"/>
    </xf>
    <xf numFmtId="49" fontId="45" fillId="0" borderId="0" xfId="55" applyNumberFormat="1" applyFont="1" applyAlignment="1">
      <alignment horizontal="center" vertical="center" wrapText="1"/>
    </xf>
    <xf numFmtId="0" fontId="49" fillId="0" borderId="1" xfId="55" applyFont="1" applyBorder="1" applyAlignment="1">
      <alignment horizontal="center" vertical="center" wrapText="1"/>
    </xf>
    <xf numFmtId="0" fontId="45" fillId="0" borderId="1" xfId="55" applyFont="1" applyBorder="1" applyAlignment="1">
      <alignment horizontal="left" wrapText="1"/>
    </xf>
    <xf numFmtId="3" fontId="45" fillId="0" borderId="1" xfId="55" applyNumberFormat="1" applyFont="1" applyBorder="1" applyAlignment="1">
      <alignment horizontal="right"/>
    </xf>
    <xf numFmtId="49" fontId="46" fillId="0" borderId="1" xfId="55" applyNumberFormat="1" applyFont="1" applyBorder="1" applyAlignment="1">
      <alignment horizontal="center" vertical="center" wrapText="1"/>
    </xf>
    <xf numFmtId="0" fontId="47" fillId="0" borderId="1" xfId="69" applyFont="1" applyBorder="1" applyAlignment="1">
      <alignment horizontal="center" vertical="center" wrapText="1"/>
    </xf>
    <xf numFmtId="49" fontId="45" fillId="0" borderId="1" xfId="55" applyNumberFormat="1" applyFont="1" applyBorder="1" applyAlignment="1">
      <alignment horizontal="center" vertical="center"/>
    </xf>
    <xf numFmtId="0" fontId="47" fillId="0" borderId="1" xfId="69" applyFont="1" applyBorder="1" applyAlignment="1">
      <alignment horizontal="center" vertical="center"/>
    </xf>
    <xf numFmtId="0" fontId="26" fillId="0" borderId="0" xfId="0" applyFont="1"/>
    <xf numFmtId="4" fontId="75" fillId="0" borderId="1" xfId="0" applyNumberFormat="1" applyFont="1" applyBorder="1" applyAlignment="1">
      <alignment horizontal="center" vertical="top" wrapText="1"/>
    </xf>
    <xf numFmtId="0" fontId="75" fillId="0" borderId="45" xfId="0" applyFont="1" applyBorder="1"/>
    <xf numFmtId="0" fontId="75" fillId="0" borderId="46" xfId="0" applyFont="1" applyBorder="1"/>
    <xf numFmtId="0" fontId="70" fillId="0" borderId="0" xfId="0" applyFont="1" applyAlignment="1">
      <alignment horizontal="center" vertical="top"/>
    </xf>
    <xf numFmtId="0" fontId="75" fillId="0" borderId="1" xfId="0" applyFont="1" applyBorder="1" applyAlignment="1">
      <alignment horizontal="center" vertical="top" wrapText="1"/>
    </xf>
    <xf numFmtId="0" fontId="75" fillId="0" borderId="1" xfId="0" applyFont="1" applyBorder="1" applyAlignment="1">
      <alignment horizontal="center" vertical="top"/>
    </xf>
    <xf numFmtId="0" fontId="26" fillId="0" borderId="1" xfId="0" applyFont="1" applyBorder="1" applyAlignment="1">
      <alignment horizontal="center" vertical="top"/>
    </xf>
    <xf numFmtId="49" fontId="26" fillId="0" borderId="1" xfId="0" applyNumberFormat="1" applyFont="1" applyBorder="1" applyAlignment="1">
      <alignment horizontal="center" vertical="top" wrapText="1"/>
    </xf>
    <xf numFmtId="49" fontId="26" fillId="0" borderId="3" xfId="0" applyNumberFormat="1" applyFont="1" applyBorder="1" applyAlignment="1">
      <alignment horizontal="right" vertical="top" wrapText="1"/>
    </xf>
    <xf numFmtId="49" fontId="26" fillId="0" borderId="8" xfId="0" applyNumberFormat="1" applyFont="1" applyBorder="1" applyAlignment="1">
      <alignment horizontal="right" vertical="top" wrapText="1"/>
    </xf>
    <xf numFmtId="49" fontId="26" fillId="0" borderId="2" xfId="0" applyNumberFormat="1" applyFont="1" applyBorder="1" applyAlignment="1">
      <alignment horizontal="right" vertical="top" wrapText="1"/>
    </xf>
    <xf numFmtId="49" fontId="26" fillId="0" borderId="3" xfId="0" applyNumberFormat="1" applyFont="1" applyBorder="1" applyAlignment="1">
      <alignment horizontal="center" vertical="top" wrapText="1"/>
    </xf>
    <xf numFmtId="49" fontId="26" fillId="0" borderId="8" xfId="0" applyNumberFormat="1" applyFont="1" applyBorder="1" applyAlignment="1">
      <alignment horizontal="center" vertical="top" wrapText="1"/>
    </xf>
    <xf numFmtId="49" fontId="26" fillId="0" borderId="44" xfId="0" applyNumberFormat="1" applyFont="1" applyBorder="1" applyAlignment="1">
      <alignment horizontal="center" vertical="top" wrapText="1"/>
    </xf>
    <xf numFmtId="0" fontId="75" fillId="0" borderId="0" xfId="0" applyFont="1" applyAlignment="1">
      <alignment horizontal="center"/>
    </xf>
    <xf numFmtId="0" fontId="76" fillId="0" borderId="0" xfId="0" applyFont="1" applyAlignment="1">
      <alignment horizontal="center"/>
    </xf>
    <xf numFmtId="0" fontId="100" fillId="0" borderId="16" xfId="0" applyFont="1" applyBorder="1" applyAlignment="1">
      <alignment horizontal="left"/>
    </xf>
    <xf numFmtId="4" fontId="26" fillId="0" borderId="0" xfId="0" applyNumberFormat="1" applyFont="1" applyAlignment="1">
      <alignment horizontal="left" vertical="top"/>
    </xf>
    <xf numFmtId="4" fontId="70" fillId="0" borderId="0" xfId="16" applyNumberFormat="1" applyFont="1" applyAlignment="1">
      <alignment horizontal="left" vertical="top"/>
    </xf>
    <xf numFmtId="0" fontId="102" fillId="0" borderId="0" xfId="0" applyFont="1" applyAlignment="1">
      <alignment horizontal="center"/>
    </xf>
    <xf numFmtId="4" fontId="70" fillId="0" borderId="0" xfId="0" applyNumberFormat="1" applyFont="1" applyAlignment="1">
      <alignment horizontal="left" vertical="top"/>
    </xf>
    <xf numFmtId="0" fontId="46" fillId="0" borderId="0" xfId="8" applyFont="1" applyAlignment="1">
      <alignment horizontal="center" vertical="center"/>
    </xf>
    <xf numFmtId="0" fontId="46" fillId="0" borderId="0" xfId="72" applyFont="1" applyAlignment="1">
      <alignment horizontal="center" vertical="center"/>
    </xf>
    <xf numFmtId="0" fontId="40" fillId="0" borderId="0" xfId="0" applyFont="1" applyAlignment="1">
      <alignment horizontal="center" vertical="center"/>
    </xf>
    <xf numFmtId="0" fontId="45" fillId="0" borderId="0" xfId="8" applyFont="1" applyAlignment="1">
      <alignment horizontal="center"/>
    </xf>
    <xf numFmtId="0" fontId="46" fillId="0" borderId="0" xfId="0" applyFont="1" applyAlignment="1">
      <alignment horizontal="center" vertical="center"/>
    </xf>
    <xf numFmtId="0" fontId="49" fillId="0" borderId="16" xfId="8" applyFont="1" applyBorder="1" applyAlignment="1">
      <alignment horizontal="left" vertical="center"/>
    </xf>
    <xf numFmtId="0" fontId="46" fillId="0" borderId="1" xfId="8" applyFont="1" applyBorder="1" applyAlignment="1">
      <alignment horizontal="center" vertical="center" wrapText="1"/>
    </xf>
    <xf numFmtId="0" fontId="45" fillId="0" borderId="0" xfId="8" applyFont="1" applyAlignment="1">
      <alignment horizontal="center" vertical="center"/>
    </xf>
    <xf numFmtId="0" fontId="46" fillId="0" borderId="12" xfId="8" applyFont="1" applyBorder="1" applyAlignment="1">
      <alignment horizontal="center" vertical="center" wrapText="1"/>
    </xf>
    <xf numFmtId="0" fontId="46" fillId="0" borderId="7" xfId="8" applyFont="1" applyBorder="1" applyAlignment="1">
      <alignment horizontal="center" vertical="center" wrapText="1"/>
    </xf>
    <xf numFmtId="0" fontId="47" fillId="0" borderId="11" xfId="72" applyFont="1" applyBorder="1" applyAlignment="1">
      <alignment horizontal="center" vertical="center" wrapText="1"/>
    </xf>
    <xf numFmtId="0" fontId="46" fillId="0" borderId="3" xfId="72" applyFont="1" applyBorder="1" applyAlignment="1">
      <alignment horizontal="center" vertical="center" wrapText="1"/>
    </xf>
    <xf numFmtId="0" fontId="46" fillId="0" borderId="2" xfId="72" applyFont="1" applyBorder="1" applyAlignment="1">
      <alignment horizontal="center" vertical="center" wrapText="1"/>
    </xf>
    <xf numFmtId="0" fontId="46" fillId="0" borderId="1" xfId="72" applyFont="1" applyBorder="1" applyAlignment="1">
      <alignment horizontal="center" vertical="center" wrapText="1"/>
    </xf>
    <xf numFmtId="0" fontId="45" fillId="0" borderId="0" xfId="8" applyFont="1" applyAlignment="1">
      <alignment horizontal="left" vertical="center" wrapText="1"/>
    </xf>
    <xf numFmtId="0" fontId="45" fillId="0" borderId="0" xfId="8" applyFont="1" applyAlignment="1">
      <alignment horizontal="left" wrapText="1"/>
    </xf>
    <xf numFmtId="0" fontId="46" fillId="0" borderId="18" xfId="8" applyFont="1" applyBorder="1" applyAlignment="1">
      <alignment horizontal="right" vertical="center" wrapText="1"/>
    </xf>
    <xf numFmtId="0" fontId="46" fillId="0" borderId="14" xfId="8" applyFont="1" applyBorder="1" applyAlignment="1">
      <alignment horizontal="right" vertical="center"/>
    </xf>
    <xf numFmtId="0" fontId="45" fillId="0" borderId="6" xfId="4" applyFont="1" applyBorder="1" applyAlignment="1">
      <alignment horizontal="left" vertical="center" wrapText="1"/>
    </xf>
    <xf numFmtId="0" fontId="45" fillId="0" borderId="4" xfId="4" applyFont="1" applyBorder="1" applyAlignment="1">
      <alignment horizontal="left" vertical="center" wrapText="1"/>
    </xf>
    <xf numFmtId="49" fontId="63" fillId="0" borderId="8" xfId="15" applyNumberFormat="1" applyFont="1" applyBorder="1" applyAlignment="1">
      <alignment horizontal="center" vertical="center"/>
    </xf>
    <xf numFmtId="49" fontId="63" fillId="0" borderId="2" xfId="15" applyNumberFormat="1" applyFont="1" applyBorder="1" applyAlignment="1">
      <alignment horizontal="center" vertical="center"/>
    </xf>
    <xf numFmtId="0" fontId="45" fillId="0" borderId="0" xfId="8" applyFont="1" applyAlignment="1">
      <alignment vertical="center" wrapText="1"/>
    </xf>
    <xf numFmtId="0" fontId="46" fillId="0" borderId="0" xfId="8" applyFont="1" applyAlignment="1">
      <alignment horizontal="center"/>
    </xf>
    <xf numFmtId="0" fontId="65" fillId="0" borderId="0" xfId="4" applyFont="1" applyAlignment="1">
      <alignment horizontal="center"/>
    </xf>
    <xf numFmtId="0" fontId="66" fillId="0" borderId="0" xfId="4" applyFont="1" applyAlignment="1">
      <alignment horizontal="center"/>
    </xf>
    <xf numFmtId="0" fontId="46" fillId="0" borderId="0" xfId="8" applyFont="1" applyAlignment="1">
      <alignment horizontal="center" vertical="center" wrapText="1"/>
    </xf>
    <xf numFmtId="0" fontId="48" fillId="0" borderId="16" xfId="55" applyFont="1" applyBorder="1" applyAlignment="1">
      <alignment wrapText="1"/>
    </xf>
    <xf numFmtId="0" fontId="68" fillId="0" borderId="16" xfId="4" applyFont="1" applyBorder="1" applyAlignment="1">
      <alignment wrapText="1"/>
    </xf>
    <xf numFmtId="0" fontId="45" fillId="2" borderId="1" xfId="1" applyFont="1" applyFill="1" applyBorder="1" applyAlignment="1">
      <alignment horizontal="center" vertical="top" wrapText="1"/>
    </xf>
    <xf numFmtId="0" fontId="46" fillId="2" borderId="1" xfId="1" applyFont="1" applyFill="1" applyBorder="1" applyAlignment="1">
      <alignment horizontal="center" vertical="center" wrapText="1"/>
    </xf>
    <xf numFmtId="0" fontId="46" fillId="2" borderId="1" xfId="55" applyFont="1" applyFill="1" applyBorder="1" applyAlignment="1">
      <alignment horizontal="center"/>
    </xf>
    <xf numFmtId="0" fontId="49" fillId="2" borderId="1" xfId="1" applyFont="1" applyFill="1" applyBorder="1" applyAlignment="1">
      <alignment horizontal="center" vertical="center" wrapText="1"/>
    </xf>
    <xf numFmtId="0" fontId="45" fillId="0" borderId="3" xfId="4" applyFont="1" applyBorder="1" applyAlignment="1">
      <alignment horizontal="center" vertical="center" wrapText="1"/>
    </xf>
    <xf numFmtId="0" fontId="45" fillId="0" borderId="2" xfId="4" applyFont="1" applyBorder="1" applyAlignment="1">
      <alignment horizontal="center" vertical="center" wrapText="1"/>
    </xf>
    <xf numFmtId="0" fontId="46" fillId="0" borderId="3" xfId="8" applyFont="1" applyBorder="1" applyAlignment="1">
      <alignment horizontal="center" vertical="center" wrapText="1"/>
    </xf>
    <xf numFmtId="0" fontId="46" fillId="0" borderId="8" xfId="8" applyFont="1" applyBorder="1" applyAlignment="1">
      <alignment horizontal="center" vertical="center" wrapText="1"/>
    </xf>
    <xf numFmtId="0" fontId="46" fillId="0" borderId="2" xfId="8" applyFont="1" applyBorder="1" applyAlignment="1">
      <alignment horizontal="center" vertical="center" wrapText="1"/>
    </xf>
    <xf numFmtId="0" fontId="46" fillId="0" borderId="6" xfId="8" applyFont="1" applyBorder="1" applyAlignment="1">
      <alignment horizontal="center" vertical="center" wrapText="1"/>
    </xf>
    <xf numFmtId="0" fontId="46" fillId="0" borderId="4" xfId="8" applyFont="1" applyBorder="1" applyAlignment="1">
      <alignment horizontal="center" vertical="center" wrapText="1"/>
    </xf>
    <xf numFmtId="0" fontId="45" fillId="0" borderId="12" xfId="8" applyFont="1" applyBorder="1" applyAlignment="1">
      <alignment horizontal="center" vertical="center" wrapText="1"/>
    </xf>
    <xf numFmtId="0" fontId="45" fillId="0" borderId="11" xfId="8" applyFont="1" applyBorder="1" applyAlignment="1">
      <alignment horizontal="center" vertical="center" wrapText="1"/>
    </xf>
    <xf numFmtId="0" fontId="45" fillId="0" borderId="0" xfId="4" applyFont="1"/>
    <xf numFmtId="0" fontId="67" fillId="0" borderId="0" xfId="4" applyFont="1"/>
    <xf numFmtId="165" fontId="45" fillId="2" borderId="7" xfId="1" applyNumberFormat="1" applyFont="1" applyFill="1" applyBorder="1" applyAlignment="1">
      <alignment horizontal="left" vertical="center" wrapText="1"/>
    </xf>
    <xf numFmtId="0" fontId="46" fillId="0" borderId="11" xfId="8" applyFont="1" applyBorder="1" applyAlignment="1">
      <alignment horizontal="center" vertical="center" wrapText="1"/>
    </xf>
    <xf numFmtId="0" fontId="45" fillId="0" borderId="1" xfId="4" applyFont="1" applyBorder="1" applyAlignment="1">
      <alignment horizontal="center" vertical="center" wrapText="1"/>
    </xf>
    <xf numFmtId="0" fontId="46" fillId="2" borderId="12" xfId="1" applyFont="1" applyFill="1" applyBorder="1" applyAlignment="1">
      <alignment horizontal="center" vertical="center" wrapText="1"/>
    </xf>
    <xf numFmtId="0" fontId="46" fillId="2" borderId="7" xfId="1" applyFont="1" applyFill="1" applyBorder="1" applyAlignment="1">
      <alignment horizontal="center" vertical="center" wrapText="1"/>
    </xf>
    <xf numFmtId="0" fontId="46" fillId="2" borderId="11" xfId="1" applyFont="1" applyFill="1" applyBorder="1" applyAlignment="1">
      <alignment horizontal="center" vertical="center" wrapText="1"/>
    </xf>
    <xf numFmtId="165" fontId="45" fillId="2" borderId="1" xfId="1" applyNumberFormat="1" applyFont="1" applyFill="1" applyBorder="1" applyAlignment="1">
      <alignment horizontal="center" vertical="center" wrapText="1"/>
    </xf>
    <xf numFmtId="0" fontId="45" fillId="0" borderId="6" xfId="8" applyFont="1" applyBorder="1" applyAlignment="1">
      <alignment horizontal="left" vertical="center" wrapText="1"/>
    </xf>
    <xf numFmtId="0" fontId="45" fillId="0" borderId="4" xfId="8" applyFont="1" applyBorder="1" applyAlignment="1">
      <alignment horizontal="left" vertical="center" wrapText="1"/>
    </xf>
    <xf numFmtId="0" fontId="49" fillId="0" borderId="1" xfId="8" applyFont="1" applyBorder="1" applyAlignment="1">
      <alignment horizontal="center" vertical="center" wrapText="1"/>
    </xf>
    <xf numFmtId="0" fontId="45" fillId="0" borderId="0" xfId="4" applyFont="1" applyAlignment="1">
      <alignment horizontal="left"/>
    </xf>
    <xf numFmtId="0" fontId="45" fillId="0" borderId="0" xfId="4" applyFont="1" applyAlignment="1">
      <alignment horizontal="center" vertical="center"/>
    </xf>
    <xf numFmtId="0" fontId="49" fillId="2" borderId="6" xfId="1" applyFont="1" applyFill="1" applyBorder="1" applyAlignment="1">
      <alignment horizontal="center" vertical="center" wrapText="1"/>
    </xf>
    <xf numFmtId="0" fontId="49" fillId="2" borderId="5" xfId="1" applyFont="1" applyFill="1" applyBorder="1" applyAlignment="1">
      <alignment horizontal="center" vertical="center" wrapText="1"/>
    </xf>
    <xf numFmtId="0" fontId="49" fillId="2" borderId="4" xfId="1" applyFont="1" applyFill="1" applyBorder="1" applyAlignment="1">
      <alignment horizontal="center" vertical="center" wrapText="1"/>
    </xf>
    <xf numFmtId="165" fontId="45" fillId="0" borderId="7" xfId="1" applyNumberFormat="1" applyFont="1" applyBorder="1" applyAlignment="1">
      <alignment horizontal="left" vertical="top" wrapText="1"/>
    </xf>
    <xf numFmtId="165" fontId="48" fillId="0" borderId="0" xfId="1" applyNumberFormat="1" applyFont="1" applyAlignment="1">
      <alignment horizontal="left" vertical="center" wrapText="1"/>
    </xf>
    <xf numFmtId="165" fontId="45" fillId="0" borderId="0" xfId="1" applyNumberFormat="1" applyFont="1" applyAlignment="1">
      <alignment horizontal="left" vertical="center" wrapText="1"/>
    </xf>
    <xf numFmtId="49" fontId="46" fillId="0" borderId="13" xfId="8" applyNumberFormat="1" applyFont="1" applyBorder="1" applyAlignment="1">
      <alignment horizontal="right" vertical="center" wrapText="1"/>
    </xf>
    <xf numFmtId="49" fontId="46" fillId="0" borderId="0" xfId="8" applyNumberFormat="1" applyFont="1" applyAlignment="1">
      <alignment horizontal="right" vertical="center" wrapText="1"/>
    </xf>
    <xf numFmtId="49" fontId="46" fillId="0" borderId="15" xfId="8" applyNumberFormat="1" applyFont="1" applyBorder="1" applyAlignment="1">
      <alignment horizontal="right" vertical="center" wrapText="1"/>
    </xf>
    <xf numFmtId="49" fontId="45" fillId="0" borderId="7" xfId="8" applyNumberFormat="1" applyFont="1" applyBorder="1" applyAlignment="1">
      <alignment horizontal="left" vertical="center"/>
    </xf>
    <xf numFmtId="0" fontId="46" fillId="2" borderId="10" xfId="1" applyFont="1" applyFill="1" applyBorder="1" applyAlignment="1">
      <alignment horizontal="center" vertical="center" wrapText="1"/>
    </xf>
    <xf numFmtId="0" fontId="46" fillId="2" borderId="16" xfId="1" applyFont="1" applyFill="1" applyBorder="1" applyAlignment="1">
      <alignment horizontal="center" vertical="center" wrapText="1"/>
    </xf>
    <xf numFmtId="0" fontId="46" fillId="2" borderId="9" xfId="1" applyFont="1" applyFill="1" applyBorder="1" applyAlignment="1">
      <alignment horizontal="center" vertical="center" wrapText="1"/>
    </xf>
    <xf numFmtId="0" fontId="46" fillId="0" borderId="6" xfId="4" applyFont="1" applyBorder="1" applyAlignment="1">
      <alignment horizontal="center" vertical="center"/>
    </xf>
    <xf numFmtId="0" fontId="46" fillId="0" borderId="4" xfId="4" applyFont="1" applyBorder="1" applyAlignment="1">
      <alignment horizontal="center" vertical="center"/>
    </xf>
    <xf numFmtId="49" fontId="77" fillId="0" borderId="25" xfId="75" applyNumberFormat="1" applyFont="1" applyBorder="1" applyAlignment="1">
      <alignment horizontal="center" vertical="center"/>
    </xf>
    <xf numFmtId="49" fontId="77" fillId="0" borderId="24" xfId="75" applyNumberFormat="1" applyFont="1" applyBorder="1" applyAlignment="1">
      <alignment horizontal="center" vertical="center"/>
    </xf>
    <xf numFmtId="49" fontId="77" fillId="0" borderId="23" xfId="75" applyNumberFormat="1" applyFont="1" applyBorder="1" applyAlignment="1">
      <alignment horizontal="center" vertical="center"/>
    </xf>
    <xf numFmtId="0" fontId="60" fillId="0" borderId="0" xfId="75" applyFont="1" applyAlignment="1">
      <alignment horizontal="center" vertical="top"/>
    </xf>
    <xf numFmtId="0" fontId="79" fillId="0" borderId="20" xfId="75" applyFont="1" applyBorder="1" applyAlignment="1">
      <alignment horizontal="center" vertical="top" wrapText="1"/>
    </xf>
    <xf numFmtId="0" fontId="25" fillId="0" borderId="20" xfId="0" applyFont="1" applyBorder="1" applyAlignment="1">
      <alignment horizontal="center" wrapText="1"/>
    </xf>
    <xf numFmtId="0" fontId="99" fillId="0" borderId="0" xfId="75" applyFont="1" applyAlignment="1">
      <alignment horizontal="center" vertical="top"/>
    </xf>
    <xf numFmtId="2" fontId="90" fillId="0" borderId="32" xfId="75" applyNumberFormat="1" applyFont="1" applyBorder="1" applyAlignment="1">
      <alignment horizontal="center" vertical="center" wrapText="1"/>
    </xf>
    <xf numFmtId="2" fontId="91" fillId="0" borderId="29" xfId="0" applyNumberFormat="1" applyFont="1" applyBorder="1" applyAlignment="1">
      <alignment horizontal="center" wrapText="1"/>
    </xf>
    <xf numFmtId="0" fontId="25" fillId="0" borderId="21" xfId="0" applyFont="1" applyBorder="1" applyAlignment="1">
      <alignment horizontal="center" wrapText="1"/>
    </xf>
    <xf numFmtId="0" fontId="79" fillId="0" borderId="0" xfId="75" applyFont="1" applyAlignment="1">
      <alignment horizontal="center" vertical="center" wrapText="1"/>
    </xf>
    <xf numFmtId="0" fontId="79" fillId="0" borderId="0" xfId="0" applyFont="1" applyAlignment="1">
      <alignment horizontal="right"/>
    </xf>
    <xf numFmtId="49" fontId="90" fillId="0" borderId="34" xfId="75" applyNumberFormat="1" applyFont="1" applyBorder="1" applyAlignment="1">
      <alignment horizontal="left" vertical="center" wrapText="1"/>
    </xf>
    <xf numFmtId="0" fontId="91" fillId="0" borderId="20" xfId="0" applyFont="1" applyBorder="1" applyAlignment="1">
      <alignment horizontal="left" vertical="center" wrapText="1"/>
    </xf>
    <xf numFmtId="0" fontId="91" fillId="0" borderId="30" xfId="0" applyFont="1" applyBorder="1" applyAlignment="1">
      <alignment horizontal="left" vertical="center" wrapText="1"/>
    </xf>
    <xf numFmtId="0" fontId="91" fillId="0" borderId="21" xfId="0" applyFont="1" applyBorder="1" applyAlignment="1">
      <alignment horizontal="left" vertical="center" wrapText="1"/>
    </xf>
    <xf numFmtId="0" fontId="90" fillId="0" borderId="32" xfId="75" applyFont="1" applyBorder="1" applyAlignment="1">
      <alignment horizontal="center" vertical="center"/>
    </xf>
    <xf numFmtId="0" fontId="91" fillId="0" borderId="29" xfId="0" applyFont="1" applyBorder="1" applyAlignment="1">
      <alignment horizontal="center"/>
    </xf>
    <xf numFmtId="0" fontId="92" fillId="0" borderId="33" xfId="0" applyFont="1" applyBorder="1" applyAlignment="1">
      <alignment horizontal="center" vertical="center" wrapText="1"/>
    </xf>
    <xf numFmtId="0" fontId="94" fillId="0" borderId="31" xfId="0" applyFont="1" applyBorder="1" applyAlignment="1">
      <alignment horizontal="center" vertical="center" wrapText="1"/>
    </xf>
    <xf numFmtId="0" fontId="93" fillId="0" borderId="25" xfId="0" applyFont="1" applyBorder="1" applyAlignment="1">
      <alignment horizontal="center" wrapText="1"/>
    </xf>
    <xf numFmtId="0" fontId="93" fillId="0" borderId="23" xfId="0" applyFont="1" applyBorder="1" applyAlignment="1">
      <alignment horizontal="center" wrapText="1"/>
    </xf>
    <xf numFmtId="165" fontId="90" fillId="0" borderId="33" xfId="75" applyNumberFormat="1" applyFont="1" applyBorder="1" applyAlignment="1">
      <alignment horizontal="center" vertical="center" wrapText="1"/>
    </xf>
    <xf numFmtId="0" fontId="91" fillId="0" borderId="31" xfId="0" applyFont="1" applyBorder="1" applyAlignment="1">
      <alignment wrapText="1"/>
    </xf>
    <xf numFmtId="0" fontId="57" fillId="0" borderId="0" xfId="75" applyFont="1"/>
    <xf numFmtId="0" fontId="25" fillId="0" borderId="0" xfId="0" applyFont="1"/>
    <xf numFmtId="0" fontId="82" fillId="0" borderId="0" xfId="75" applyFont="1" applyAlignment="1">
      <alignment horizontal="center" vertical="center" wrapText="1"/>
    </xf>
    <xf numFmtId="0" fontId="57" fillId="0" borderId="0" xfId="75" applyFont="1" applyAlignment="1">
      <alignment horizontal="center"/>
    </xf>
    <xf numFmtId="0" fontId="78" fillId="0" borderId="0" xfId="75" applyFont="1" applyAlignment="1">
      <alignment horizontal="left"/>
    </xf>
    <xf numFmtId="0" fontId="79" fillId="0" borderId="0" xfId="77" applyFont="1" applyAlignment="1">
      <alignment horizontal="center" vertical="top"/>
    </xf>
    <xf numFmtId="0" fontId="71" fillId="0" borderId="0" xfId="0" applyFont="1"/>
    <xf numFmtId="0" fontId="86" fillId="0" borderId="0" xfId="75" applyFont="1" applyAlignment="1">
      <alignment horizontal="center"/>
    </xf>
    <xf numFmtId="0" fontId="77" fillId="0" borderId="0" xfId="6" applyFont="1" applyAlignment="1">
      <alignment horizontal="left" vertical="center" wrapText="1"/>
    </xf>
    <xf numFmtId="0" fontId="79" fillId="0" borderId="0" xfId="75" applyFont="1" applyAlignment="1">
      <alignment horizontal="left"/>
    </xf>
    <xf numFmtId="0" fontId="85" fillId="0" borderId="0" xfId="75" applyFont="1" applyAlignment="1">
      <alignment horizontal="center"/>
    </xf>
    <xf numFmtId="0" fontId="78" fillId="0" borderId="0" xfId="75" applyFont="1" applyAlignment="1">
      <alignment horizontal="center"/>
    </xf>
    <xf numFmtId="0" fontId="61" fillId="0" borderId="51" xfId="65" applyFont="1" applyBorder="1" applyAlignment="1">
      <alignment horizontal="center" vertical="center" wrapText="1"/>
    </xf>
    <xf numFmtId="0" fontId="61" fillId="0" borderId="55" xfId="65" applyFont="1" applyBorder="1" applyAlignment="1">
      <alignment horizontal="center" vertical="center" wrapText="1"/>
    </xf>
    <xf numFmtId="0" fontId="56" fillId="0" borderId="21" xfId="76" applyFont="1" applyBorder="1" applyAlignment="1">
      <alignment horizontal="center"/>
    </xf>
    <xf numFmtId="0" fontId="69" fillId="0" borderId="20" xfId="76" applyFont="1" applyBorder="1" applyAlignment="1">
      <alignment horizontal="center" vertical="center"/>
    </xf>
    <xf numFmtId="0" fontId="69" fillId="0" borderId="21" xfId="65" applyFont="1" applyBorder="1" applyAlignment="1">
      <alignment horizontal="center"/>
    </xf>
    <xf numFmtId="0" fontId="69" fillId="0" borderId="0" xfId="77" applyFont="1" applyAlignment="1">
      <alignment horizontal="center" vertical="center" wrapText="1"/>
    </xf>
    <xf numFmtId="165" fontId="69" fillId="0" borderId="7" xfId="79" applyNumberFormat="1" applyFont="1" applyBorder="1" applyAlignment="1">
      <alignment horizontal="right"/>
    </xf>
    <xf numFmtId="0" fontId="69" fillId="0" borderId="0" xfId="65" applyFont="1" applyAlignment="1">
      <alignment horizontal="center"/>
    </xf>
    <xf numFmtId="0" fontId="56" fillId="0" borderId="0" xfId="76" applyFont="1" applyAlignment="1">
      <alignment horizontal="left" wrapText="1"/>
    </xf>
    <xf numFmtId="0" fontId="69" fillId="0" borderId="0" xfId="76" applyFont="1" applyAlignment="1">
      <alignment horizontal="center" vertical="center"/>
    </xf>
    <xf numFmtId="0" fontId="61" fillId="0" borderId="17" xfId="65" applyFont="1" applyBorder="1" applyAlignment="1">
      <alignment horizontal="center" vertical="center" wrapText="1"/>
    </xf>
    <xf numFmtId="0" fontId="61" fillId="0" borderId="8" xfId="65" applyFont="1" applyBorder="1" applyAlignment="1">
      <alignment horizontal="center" vertical="center" wrapText="1"/>
    </xf>
    <xf numFmtId="0" fontId="61" fillId="0" borderId="52" xfId="65" applyFont="1" applyBorder="1" applyAlignment="1">
      <alignment horizontal="center" vertical="center" wrapText="1"/>
    </xf>
    <xf numFmtId="0" fontId="61" fillId="0" borderId="53" xfId="65" applyFont="1" applyBorder="1" applyAlignment="1">
      <alignment horizontal="center" vertical="center" wrapText="1"/>
    </xf>
    <xf numFmtId="0" fontId="61" fillId="0" borderId="54" xfId="65" applyFont="1" applyBorder="1" applyAlignment="1">
      <alignment horizontal="center" vertical="center" wrapText="1"/>
    </xf>
    <xf numFmtId="0" fontId="69" fillId="0" borderId="0" xfId="65" applyFont="1" applyAlignment="1">
      <alignment horizontal="left" vertical="center" wrapText="1"/>
    </xf>
    <xf numFmtId="0" fontId="106" fillId="0" borderId="0" xfId="65" applyFont="1" applyAlignment="1">
      <alignment horizontal="left" vertical="center" wrapText="1"/>
    </xf>
    <xf numFmtId="0" fontId="69" fillId="0" borderId="0" xfId="65" applyFont="1" applyAlignment="1">
      <alignment horizontal="left" vertical="top" wrapText="1"/>
    </xf>
    <xf numFmtId="0" fontId="104" fillId="0" borderId="21" xfId="65" applyFont="1" applyBorder="1" applyAlignment="1">
      <alignment horizontal="center"/>
    </xf>
    <xf numFmtId="0" fontId="69" fillId="0" borderId="0" xfId="77" applyFont="1" applyAlignment="1">
      <alignment horizontal="center"/>
    </xf>
    <xf numFmtId="0" fontId="105" fillId="0" borderId="0" xfId="65" applyFont="1" applyAlignment="1">
      <alignment horizontal="center" vertical="center"/>
    </xf>
    <xf numFmtId="0" fontId="104" fillId="0" borderId="0" xfId="65" applyFont="1" applyAlignment="1">
      <alignment horizontal="center"/>
    </xf>
    <xf numFmtId="0" fontId="69" fillId="0" borderId="20" xfId="77" applyFont="1" applyBorder="1" applyAlignment="1">
      <alignment horizontal="center" vertical="center" wrapText="1"/>
    </xf>
    <xf numFmtId="0" fontId="69" fillId="0" borderId="7" xfId="65" applyFont="1" applyBorder="1" applyAlignment="1">
      <alignment horizontal="center"/>
    </xf>
    <xf numFmtId="49" fontId="69" fillId="0" borderId="21" xfId="79" applyNumberFormat="1" applyFont="1" applyBorder="1" applyAlignment="1">
      <alignment horizontal="left" vertical="top" wrapText="1"/>
    </xf>
    <xf numFmtId="1" fontId="69" fillId="0" borderId="6" xfId="79" applyNumberFormat="1" applyFont="1" applyBorder="1" applyAlignment="1">
      <alignment horizontal="center"/>
    </xf>
    <xf numFmtId="1" fontId="69" fillId="0" borderId="4" xfId="79" applyNumberFormat="1" applyFont="1" applyBorder="1" applyAlignment="1">
      <alignment horizontal="center"/>
    </xf>
    <xf numFmtId="49" fontId="69" fillId="0" borderId="0" xfId="79" applyNumberFormat="1" applyFont="1" applyAlignment="1">
      <alignment horizontal="left" vertical="top" wrapText="1"/>
    </xf>
    <xf numFmtId="0" fontId="69" fillId="0" borderId="0" xfId="65" applyFont="1" applyAlignment="1">
      <alignment horizontal="left" wrapText="1"/>
    </xf>
    <xf numFmtId="0" fontId="45" fillId="0" borderId="0" xfId="65" applyFont="1"/>
    <xf numFmtId="0" fontId="46" fillId="0" borderId="0" xfId="65" applyFont="1" applyAlignment="1">
      <alignment horizontal="center"/>
    </xf>
    <xf numFmtId="0" fontId="46" fillId="0" borderId="43" xfId="65" applyFont="1" applyBorder="1" applyAlignment="1">
      <alignment horizontal="center" vertical="center" wrapText="1"/>
    </xf>
    <xf numFmtId="0" fontId="45" fillId="0" borderId="42" xfId="65" applyFont="1" applyBorder="1" applyAlignment="1">
      <alignment horizontal="center" vertical="center" wrapText="1"/>
    </xf>
    <xf numFmtId="0" fontId="45" fillId="0" borderId="41" xfId="65" applyFont="1" applyBorder="1" applyAlignment="1">
      <alignment horizontal="center" vertical="center" wrapText="1"/>
    </xf>
    <xf numFmtId="0" fontId="46" fillId="0" borderId="42" xfId="65" applyFont="1" applyBorder="1" applyAlignment="1">
      <alignment horizontal="center" vertical="center" wrapText="1"/>
    </xf>
    <xf numFmtId="0" fontId="46" fillId="0" borderId="41" xfId="65" applyFont="1" applyBorder="1" applyAlignment="1">
      <alignment horizontal="center" vertical="center" wrapText="1"/>
    </xf>
    <xf numFmtId="0" fontId="46" fillId="0" borderId="43" xfId="65" applyFont="1" applyBorder="1" applyAlignment="1">
      <alignment horizontal="center" vertical="center"/>
    </xf>
    <xf numFmtId="0" fontId="46" fillId="0" borderId="42" xfId="65" applyFont="1" applyBorder="1" applyAlignment="1">
      <alignment horizontal="center" vertical="center"/>
    </xf>
    <xf numFmtId="0" fontId="46" fillId="0" borderId="41" xfId="65" applyFont="1" applyBorder="1" applyAlignment="1">
      <alignment horizontal="center" vertical="center"/>
    </xf>
  </cellXfs>
  <cellStyles count="81">
    <cellStyle name="Comma" xfId="80" builtinId="3"/>
    <cellStyle name="Įprastas 10" xfId="16" xr:uid="{09827876-5E77-4F1D-AA48-E7C1DD5617C3}"/>
    <cellStyle name="Įprastas 11" xfId="18" xr:uid="{4B053FF8-3946-466C-AC9B-D896CFF28F78}"/>
    <cellStyle name="Įprastas 12" xfId="19" xr:uid="{B8C09623-F9CA-496C-BE80-A73DB1BBC589}"/>
    <cellStyle name="Įprastas 13" xfId="20" xr:uid="{856A6021-0F37-4D10-976F-15414BAC379B}"/>
    <cellStyle name="Įprastas 14" xfId="21" xr:uid="{4BBED5C5-92D3-48B4-94A5-1177F0AE6F9B}"/>
    <cellStyle name="Įprastas 15" xfId="23" xr:uid="{8E1FDC46-6C2E-4965-ADDF-A69545630B03}"/>
    <cellStyle name="Įprastas 16" xfId="24" xr:uid="{F7B5EB38-1CE5-4738-9D06-2FEEF5FAE9A6}"/>
    <cellStyle name="Įprastas 17" xfId="25" xr:uid="{B536E125-4F3A-4F26-BE0C-85F3455586C2}"/>
    <cellStyle name="Įprastas 18" xfId="26" xr:uid="{58965651-B5CB-42EA-A78D-9CE4BC769713}"/>
    <cellStyle name="Įprastas 18 2" xfId="30" xr:uid="{E3FC2CDB-597F-49A0-B079-3575A90CE51D}"/>
    <cellStyle name="Įprastas 18 2 2" xfId="32" xr:uid="{DDF292C7-13C7-48B6-B14E-4443C6762740}"/>
    <cellStyle name="Įprastas 19" xfId="27" xr:uid="{25CF9B2B-DB9B-4486-98E6-843B7CF118D1}"/>
    <cellStyle name="Įprastas 2" xfId="1" xr:uid="{7C43243F-13DB-4A60-BB2F-39867D4951C5}"/>
    <cellStyle name="Įprastas 2 2" xfId="9" xr:uid="{1F1DBB31-A465-4F77-A75E-56CC8EC154C5}"/>
    <cellStyle name="Įprastas 2 2 2" xfId="22" xr:uid="{3004C239-56B4-4776-9F17-7F2ABDE0E269}"/>
    <cellStyle name="Įprastas 2 3" xfId="40" xr:uid="{C9534DAB-7D04-4976-886B-442C3660D3F2}"/>
    <cellStyle name="Įprastas 2 4" xfId="63" xr:uid="{2485636A-BCB7-4CAA-AC49-C886093AED40}"/>
    <cellStyle name="Įprastas 2 5" xfId="76" xr:uid="{75926E5B-28A6-4DEA-A529-FD2D406C103D}"/>
    <cellStyle name="Įprastas 20" xfId="28" xr:uid="{71A62D64-8F74-4D4D-96DB-DF51F355AD7B}"/>
    <cellStyle name="Įprastas 21" xfId="29" xr:uid="{A5A6D085-0236-45CF-BE98-31F393035793}"/>
    <cellStyle name="Įprastas 22" xfId="31" xr:uid="{3E7E55BD-1D57-4F04-A05C-06DBC41FDCA2}"/>
    <cellStyle name="Įprastas 23" xfId="33" xr:uid="{EB8E308D-60B9-4938-8B05-F9B79F71B26F}"/>
    <cellStyle name="Įprastas 23 2" xfId="41" xr:uid="{5C02EC16-B4DB-42ED-BC94-4579CAF6B551}"/>
    <cellStyle name="Įprastas 23 2 2" xfId="47" xr:uid="{0A3D579B-E6E9-4BEC-8B62-06DECF4FEDB8}"/>
    <cellStyle name="Įprastas 23 2 2 2" xfId="51" xr:uid="{7EC2AA70-A22A-4E0C-8627-4F6A62B87D68}"/>
    <cellStyle name="Įprastas 23 2 2 2 2" xfId="56" xr:uid="{65ED6463-7E7D-4B9C-9E99-3E9DEC96865A}"/>
    <cellStyle name="Įprastas 23 2 2 2 2 2" xfId="69" xr:uid="{A6CECEE1-A528-4919-8402-F446E9DF68A2}"/>
    <cellStyle name="Įprastas 24" xfId="36" xr:uid="{506A4F54-32C8-42C6-BDF4-8DB720713402}"/>
    <cellStyle name="Įprastas 24 2" xfId="38" xr:uid="{2CEFC07E-2C10-4C4B-B491-CA23FFEA5E28}"/>
    <cellStyle name="Įprastas 24 2 2" xfId="46" xr:uid="{DF459B16-B7ED-4444-B57E-AAF80FDCFAEA}"/>
    <cellStyle name="Įprastas 24 2 3" xfId="53" xr:uid="{550B9FF1-47CD-4CF9-AC6B-EC27AA378DB5}"/>
    <cellStyle name="Įprastas 24 2 4" xfId="62" xr:uid="{5708165B-3F88-4519-953A-DE85B3761C53}"/>
    <cellStyle name="Įprastas 24 2 4 2" xfId="74" xr:uid="{78548343-C1C6-4374-9C09-635B0494C664}"/>
    <cellStyle name="Įprastas 24 3" xfId="42" xr:uid="{58F2B356-EFE5-4E28-AAAC-B629BC5C0A1A}"/>
    <cellStyle name="Įprastas 24 3 2" xfId="48" xr:uid="{19642A62-80CB-4599-83D2-F0C6D79EDB1D}"/>
    <cellStyle name="Įprastas 24 3 2 2" xfId="52" xr:uid="{AA0CC7E4-501B-4DE5-839B-4A67B79F9D17}"/>
    <cellStyle name="Įprastas 24 3 2 2 2" xfId="58" xr:uid="{B213E056-9102-4587-86D9-120A01458B31}"/>
    <cellStyle name="Įprastas 24 3 2 2 2 2" xfId="70" xr:uid="{E875A4CE-E209-4293-B96D-B4D9F47B823D}"/>
    <cellStyle name="Įprastas 25" xfId="43" xr:uid="{17C9B280-B39E-411C-9808-9E9281C6739B}"/>
    <cellStyle name="Įprastas 26" xfId="49" xr:uid="{102DDAFE-8E22-47A6-A051-EF57AB851ABE}"/>
    <cellStyle name="Įprastas 27" xfId="61" xr:uid="{ECFB6B45-2475-4158-8A65-789A3559C681}"/>
    <cellStyle name="Įprastas 28" xfId="67" xr:uid="{A19D4BF3-192E-47E4-82F6-A70454BC7FC5}"/>
    <cellStyle name="Įprastas 29" xfId="71" xr:uid="{A3287E08-DBD4-415B-9C56-99DBFCF68800}"/>
    <cellStyle name="Įprastas 3" xfId="2" xr:uid="{FE915754-73B4-4804-8847-16BA5D426643}"/>
    <cellStyle name="Įprastas 3 2" xfId="4" xr:uid="{26277ECC-5E2F-4A67-8315-4BE4025994AF}"/>
    <cellStyle name="Įprastas 30" xfId="72" xr:uid="{0B5EF590-DF47-48A6-8E4A-69A10B599F90}"/>
    <cellStyle name="Įprastas 4" xfId="5" xr:uid="{765E3EA2-6768-46FA-B096-AE0FA7A2A020}"/>
    <cellStyle name="Įprastas 4 2" xfId="65" xr:uid="{782CF96A-ACD4-4D93-961A-0A5264F3E762}"/>
    <cellStyle name="Įprastas 5" xfId="6" xr:uid="{9C3011FC-4C76-433E-8156-44D7D7C4AA7F}"/>
    <cellStyle name="Įprastas 5 10" xfId="78" xr:uid="{D6F8C5CD-6256-4251-9B02-BF1A23966187}"/>
    <cellStyle name="Įprastas 5 2" xfId="10" xr:uid="{13149F60-91A8-48AC-9907-0A35FF631989}"/>
    <cellStyle name="Įprastas 5 3" xfId="17" xr:uid="{1D80C695-1545-4B88-9811-929F145CDDFC}"/>
    <cellStyle name="Įprastas 5 4" xfId="37" xr:uid="{79595E5B-7AE5-4CDE-95E3-F357F4B8644A}"/>
    <cellStyle name="Įprastas 5 5" xfId="39" xr:uid="{5EE27C45-B55D-4198-9B01-D5252547C120}"/>
    <cellStyle name="Įprastas 5 6" xfId="45" xr:uid="{7A052B08-61A5-40BB-BAF0-8529DCD9C881}"/>
    <cellStyle name="Įprastas 5 7" xfId="50" xr:uid="{18C63579-6EB9-4C55-9A1E-083162FF5664}"/>
    <cellStyle name="Įprastas 5 8" xfId="60" xr:uid="{85E7508F-E80F-4913-A871-B3B72F6B8741}"/>
    <cellStyle name="Įprastas 5 9" xfId="64" xr:uid="{F6AF6399-AF46-4AD0-9E6B-1A90FAE1C1B2}"/>
    <cellStyle name="Įprastas 6" xfId="7" xr:uid="{FB4838E1-E889-4F8D-A379-2864B2A12C74}"/>
    <cellStyle name="Įprastas 7" xfId="12" xr:uid="{E8CDAF9E-B0E1-4216-9C12-A4BD06EF753F}"/>
    <cellStyle name="Įprastas 8" xfId="13" xr:uid="{1A0A8775-2A84-49BD-A6AF-63616698EF0B}"/>
    <cellStyle name="Įprastas 9" xfId="14" xr:uid="{177FB182-A65F-4134-92DE-93A43A559DCB}"/>
    <cellStyle name="Kablelis 2" xfId="11" xr:uid="{936173DC-B5B4-4593-9B14-176A3366CA2B}"/>
    <cellStyle name="Kablelis 2 2" xfId="59" xr:uid="{78A301C5-822D-4A63-A189-3BE646F965D6}"/>
    <cellStyle name="Kablelis 3" xfId="44" xr:uid="{788C5321-32F4-4E4F-A4BD-62233F5D9525}"/>
    <cellStyle name="Kablelis 4" xfId="54" xr:uid="{9722C3D1-7CA6-4AF3-9B7A-BA81975B7B50}"/>
    <cellStyle name="Kablelis 5" xfId="66" xr:uid="{4EC65E2D-E0A1-4A97-8757-89914765E892}"/>
    <cellStyle name="Kablelis 6" xfId="68" xr:uid="{D9DBFAE2-078E-46FA-916C-4F97E04EB0C5}"/>
    <cellStyle name="Kablelis 7" xfId="73" xr:uid="{E14BB8D7-00A5-4144-ABC6-E85C1D1AE2F0}"/>
    <cellStyle name="Normal" xfId="0" builtinId="0"/>
    <cellStyle name="Normal 2" xfId="3" xr:uid="{0F041103-A804-4B16-80D9-454E88A16937}"/>
    <cellStyle name="Normal 2 2" xfId="15" xr:uid="{D0FC2075-DA76-42DC-ADB6-656CD0643241}"/>
    <cellStyle name="Normal 2 3" xfId="35" xr:uid="{AFB9C1A6-A9B2-4964-AB80-863A7A3F100D}"/>
    <cellStyle name="Normal_1999 BIUDŽ projektas" xfId="8" xr:uid="{EB8AB84E-04BD-43CC-90B2-320DDFCCB3AF}"/>
    <cellStyle name="Normal_biudz uz 2001 atskaitomybe3" xfId="75" xr:uid="{1731F3E6-8033-4A7C-886C-B3505FCE22FF}"/>
    <cellStyle name="Normal_Sheet1 2" xfId="79" xr:uid="{DCAB2687-1402-49C9-9E77-812418B95429}"/>
    <cellStyle name="Normal_TRECFORMantras2001333" xfId="77" xr:uid="{0FF3F350-8C40-44D6-A5E7-57A721B71C9A}"/>
    <cellStyle name="Normal_VLK PSDFvykd" xfId="55" xr:uid="{A8BA5760-8960-48D3-A13D-CF532088A169}"/>
    <cellStyle name="Paprastas_for 3-AL" xfId="34" xr:uid="{6CAEA5F1-7F2F-401A-A861-747FFF4B68FE}"/>
    <cellStyle name="Paprastas_Lapas1" xfId="57" xr:uid="{D158BA98-39AE-45ED-8C93-CF179030E4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isvvilk/AppData/Local/Microsoft/Windows/INetCache/Content.Outlook/YUYDM0JP/2025%20I-III%20ketv%201%20PSDF_P%20-%20DV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visvvilk/AppData/Local/Microsoft/Windows/INetCache/Content.Outlook/YUYDM0JP/1-PSDF-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LK ir TLK 1"/>
      <sheetName val="VLK 1"/>
      <sheetName val="Pajamu_Islaidu atask"/>
      <sheetName val="VLK"/>
      <sheetName val="TLK"/>
      <sheetName val="VLK ir TLK veikla"/>
      <sheetName val="VLK ir TLK"/>
      <sheetName val="operatyvinė"/>
      <sheetName val="01-02"/>
      <sheetName val="03 01"/>
      <sheetName val="03 02-03 06"/>
      <sheetName val="03 07 kitos"/>
      <sheetName val="03 07 ŽIS"/>
      <sheetName val="03 07 ES pil"/>
      <sheetName val="Lapas6"/>
      <sheetName val="Lapas1"/>
      <sheetName val="Lapas2"/>
      <sheetName val="DK"/>
      <sheetName val="DK 2kl ir 7kl"/>
    </sheetNames>
    <sheetDataSet>
      <sheetData sheetId="0" refreshError="1"/>
      <sheetData sheetId="1" refreshError="1"/>
      <sheetData sheetId="2" refreshError="1"/>
      <sheetData sheetId="3" refreshError="1"/>
      <sheetData sheetId="4">
        <row r="33">
          <cell r="G33">
            <v>205</v>
          </cell>
        </row>
        <row r="34">
          <cell r="G34">
            <v>368.61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 1-PSDF-I suvestinė be TLK"/>
      <sheetName val="Forma 1-PSDF-I suvestinė su TLK"/>
      <sheetName val="Forma 1-PSDF-I  VLK "/>
    </sheetNames>
    <sheetDataSet>
      <sheetData sheetId="0"/>
      <sheetData sheetId="1"/>
      <sheetData sheetId="2">
        <row r="22">
          <cell r="E22">
            <v>283157664.21000004</v>
          </cell>
        </row>
        <row r="24">
          <cell r="Q24">
            <v>0</v>
          </cell>
        </row>
        <row r="25">
          <cell r="Q25">
            <v>0</v>
          </cell>
        </row>
        <row r="26">
          <cell r="Q26">
            <v>0</v>
          </cell>
        </row>
        <row r="27">
          <cell r="Q27">
            <v>0</v>
          </cell>
        </row>
        <row r="49">
          <cell r="Q49">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3"/>
  <sheetViews>
    <sheetView tabSelected="1" zoomScaleNormal="100" zoomScaleSheetLayoutView="99" workbookViewId="0">
      <selection activeCell="M25" sqref="M25"/>
    </sheetView>
  </sheetViews>
  <sheetFormatPr defaultColWidth="8.86328125" defaultRowHeight="14.25"/>
  <cols>
    <col min="1" max="8" width="8.86328125" style="2"/>
    <col min="9" max="9" width="11" style="2" customWidth="1"/>
    <col min="10" max="16384" width="8.86328125" style="2"/>
  </cols>
  <sheetData>
    <row r="1" spans="1:9" ht="14.45" customHeight="1">
      <c r="A1" s="1"/>
    </row>
    <row r="5" spans="1:9" ht="15.75">
      <c r="A5" s="496" t="s">
        <v>0</v>
      </c>
      <c r="B5" s="496"/>
      <c r="C5" s="496"/>
      <c r="D5" s="496"/>
      <c r="E5" s="496"/>
      <c r="F5" s="496"/>
      <c r="G5" s="496"/>
      <c r="H5" s="496"/>
      <c r="I5" s="496"/>
    </row>
    <row r="12" spans="1:9" ht="15.75">
      <c r="A12" s="496" t="s">
        <v>1</v>
      </c>
      <c r="B12" s="496"/>
      <c r="C12" s="496"/>
      <c r="D12" s="496"/>
      <c r="E12" s="496"/>
      <c r="F12" s="496"/>
      <c r="G12" s="496"/>
      <c r="H12" s="496"/>
      <c r="I12" s="496"/>
    </row>
    <row r="13" spans="1:9" ht="15.75">
      <c r="A13" s="496" t="s">
        <v>2</v>
      </c>
      <c r="B13" s="496"/>
      <c r="C13" s="496"/>
      <c r="D13" s="496"/>
      <c r="E13" s="496"/>
      <c r="F13" s="496"/>
      <c r="G13" s="496"/>
      <c r="H13" s="496"/>
      <c r="I13" s="496"/>
    </row>
    <row r="14" spans="1:9">
      <c r="E14" s="3"/>
    </row>
    <row r="43" spans="1:9" ht="15.75">
      <c r="A43" s="496" t="s">
        <v>3</v>
      </c>
      <c r="B43" s="496"/>
      <c r="C43" s="496"/>
      <c r="D43" s="496"/>
      <c r="E43" s="496"/>
      <c r="F43" s="496"/>
      <c r="G43" s="496"/>
      <c r="H43" s="496"/>
      <c r="I43" s="496"/>
    </row>
  </sheetData>
  <mergeCells count="4">
    <mergeCell ref="A5:I5"/>
    <mergeCell ref="A12:I12"/>
    <mergeCell ref="A13:I13"/>
    <mergeCell ref="A43:I4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8840C-0EA4-4626-9FA8-845DF8D2FAE0}">
  <dimension ref="A6:L20"/>
  <sheetViews>
    <sheetView topLeftCell="A19" zoomScaleNormal="100" zoomScaleSheetLayoutView="98" workbookViewId="0">
      <selection activeCell="L19" sqref="L19"/>
    </sheetView>
  </sheetViews>
  <sheetFormatPr defaultColWidth="8.86328125" defaultRowHeight="15.75"/>
  <cols>
    <col min="1" max="8" width="8.86328125" style="47"/>
    <col min="9" max="9" width="9.46484375" style="47" customWidth="1"/>
    <col min="10" max="10" width="8.86328125" style="47" hidden="1" customWidth="1"/>
    <col min="11" max="16384" width="8.86328125" style="47"/>
  </cols>
  <sheetData>
    <row r="6" spans="1:12">
      <c r="A6" s="498" t="s">
        <v>4</v>
      </c>
      <c r="B6" s="498"/>
      <c r="C6" s="498"/>
      <c r="D6" s="498"/>
      <c r="E6" s="498"/>
      <c r="F6" s="498"/>
      <c r="G6" s="498"/>
      <c r="H6" s="498"/>
      <c r="I6" s="498"/>
    </row>
    <row r="10" spans="1:12" ht="32.1" customHeight="1">
      <c r="A10" s="499" t="s">
        <v>5</v>
      </c>
      <c r="B10" s="499"/>
      <c r="C10" s="499"/>
      <c r="D10" s="499"/>
      <c r="E10" s="499"/>
      <c r="F10" s="499"/>
      <c r="G10" s="499"/>
      <c r="H10" s="499"/>
      <c r="I10" s="48">
        <v>3</v>
      </c>
    </row>
    <row r="11" spans="1:12" ht="33" customHeight="1">
      <c r="A11" s="499" t="s">
        <v>6</v>
      </c>
      <c r="B11" s="499"/>
      <c r="C11" s="499"/>
      <c r="D11" s="499"/>
      <c r="E11" s="499"/>
      <c r="F11" s="499"/>
      <c r="G11" s="499"/>
      <c r="H11" s="499"/>
      <c r="I11" s="48">
        <v>4</v>
      </c>
    </row>
    <row r="12" spans="1:12" ht="30.6" customHeight="1">
      <c r="A12" s="499" t="s">
        <v>7</v>
      </c>
      <c r="B12" s="499"/>
      <c r="C12" s="499"/>
      <c r="D12" s="499"/>
      <c r="E12" s="499"/>
      <c r="F12" s="499"/>
      <c r="G12" s="499"/>
      <c r="H12" s="499"/>
      <c r="I12" s="48">
        <v>5</v>
      </c>
    </row>
    <row r="13" spans="1:12" ht="32.1" customHeight="1">
      <c r="A13" s="499" t="s">
        <v>8</v>
      </c>
      <c r="B13" s="499"/>
      <c r="C13" s="499"/>
      <c r="D13" s="499"/>
      <c r="E13" s="499"/>
      <c r="F13" s="499"/>
      <c r="G13" s="499"/>
      <c r="H13" s="499"/>
      <c r="I13" s="49">
        <v>8</v>
      </c>
    </row>
    <row r="14" spans="1:12" ht="15.6" customHeight="1">
      <c r="A14" s="499" t="s">
        <v>9</v>
      </c>
      <c r="B14" s="499"/>
      <c r="C14" s="499"/>
      <c r="D14" s="499"/>
      <c r="E14" s="499"/>
      <c r="F14" s="499"/>
      <c r="G14" s="499"/>
      <c r="H14" s="499"/>
      <c r="I14" s="49">
        <v>9</v>
      </c>
    </row>
    <row r="15" spans="1:12" ht="33" customHeight="1">
      <c r="A15" s="499" t="s">
        <v>10</v>
      </c>
      <c r="B15" s="499"/>
      <c r="C15" s="499"/>
      <c r="D15" s="499"/>
      <c r="E15" s="499"/>
      <c r="F15" s="499"/>
      <c r="G15" s="499"/>
      <c r="H15" s="499"/>
      <c r="I15" s="49">
        <v>19</v>
      </c>
    </row>
    <row r="16" spans="1:12" ht="32" customHeight="1">
      <c r="A16" s="497" t="s">
        <v>11</v>
      </c>
      <c r="B16" s="497"/>
      <c r="C16" s="497"/>
      <c r="D16" s="497"/>
      <c r="E16" s="497"/>
      <c r="F16" s="497"/>
      <c r="G16" s="497"/>
      <c r="H16" s="497"/>
      <c r="I16" s="49">
        <v>20</v>
      </c>
      <c r="L16" s="50"/>
    </row>
    <row r="17" spans="1:9">
      <c r="A17" s="48"/>
      <c r="B17" s="48"/>
      <c r="C17" s="48"/>
      <c r="D17" s="48"/>
      <c r="E17" s="48"/>
      <c r="F17" s="48"/>
      <c r="G17" s="48"/>
      <c r="H17" s="48"/>
      <c r="I17" s="48"/>
    </row>
    <row r="18" spans="1:9">
      <c r="A18" s="48"/>
      <c r="B18" s="48"/>
      <c r="C18" s="48"/>
      <c r="D18" s="48"/>
      <c r="E18" s="48"/>
      <c r="F18" s="48"/>
      <c r="G18" s="48"/>
      <c r="H18" s="48"/>
      <c r="I18" s="48"/>
    </row>
    <row r="19" spans="1:9">
      <c r="A19" s="48"/>
      <c r="B19" s="48"/>
      <c r="C19" s="48"/>
      <c r="D19" s="48"/>
      <c r="E19" s="48"/>
      <c r="F19" s="48"/>
      <c r="G19" s="48"/>
      <c r="H19" s="48"/>
      <c r="I19" s="48"/>
    </row>
    <row r="20" spans="1:9">
      <c r="A20" s="48"/>
      <c r="B20" s="48"/>
      <c r="C20" s="48"/>
      <c r="D20" s="48"/>
      <c r="E20" s="48"/>
      <c r="F20" s="48"/>
      <c r="G20" s="48"/>
      <c r="H20" s="48"/>
      <c r="I20" s="48"/>
    </row>
  </sheetData>
  <mergeCells count="8">
    <mergeCell ref="A16:H16"/>
    <mergeCell ref="A6:I6"/>
    <mergeCell ref="A10:H10"/>
    <mergeCell ref="A11:H11"/>
    <mergeCell ref="A12:H12"/>
    <mergeCell ref="A13:H13"/>
    <mergeCell ref="A14:H14"/>
    <mergeCell ref="A15:H15"/>
  </mergeCells>
  <pageMargins left="0.7" right="0.7"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DFAC7-15A4-4973-9347-FB9200DB13AF}">
  <dimension ref="A1:L57"/>
  <sheetViews>
    <sheetView topLeftCell="A30" zoomScale="70" zoomScaleNormal="70" zoomScaleSheetLayoutView="70" workbookViewId="0">
      <selection activeCell="G16" sqref="G16:I16"/>
    </sheetView>
  </sheetViews>
  <sheetFormatPr defaultColWidth="7.53125" defaultRowHeight="15.75"/>
  <cols>
    <col min="1" max="1" width="6.53125" style="4" customWidth="1"/>
    <col min="2" max="2" width="50.86328125" style="4" customWidth="1"/>
    <col min="3" max="3" width="16.6640625" style="5" customWidth="1"/>
    <col min="4" max="10" width="16.6640625" style="4" customWidth="1"/>
    <col min="11" max="239" width="7.53125" style="4"/>
    <col min="240" max="240" width="6.53125" style="4" customWidth="1"/>
    <col min="241" max="241" width="7.53125" style="4"/>
    <col min="242" max="242" width="7.46484375" style="4" customWidth="1"/>
    <col min="243" max="243" width="50.86328125" style="4" customWidth="1"/>
    <col min="244" max="244" width="12.86328125" style="4" customWidth="1"/>
    <col min="245" max="245" width="13" style="4" customWidth="1"/>
    <col min="246" max="246" width="14.46484375" style="4" customWidth="1"/>
    <col min="247" max="247" width="13.53125" style="4" customWidth="1"/>
    <col min="248" max="248" width="12.1328125" style="4" customWidth="1"/>
    <col min="249" max="249" width="11.86328125" style="4" customWidth="1"/>
    <col min="250" max="250" width="3.86328125" style="4" customWidth="1"/>
    <col min="251" max="251" width="11.86328125" style="4" customWidth="1"/>
    <col min="252" max="252" width="12.46484375" style="4" customWidth="1"/>
    <col min="253" max="253" width="12.1328125" style="4" customWidth="1"/>
    <col min="254" max="254" width="12.46484375" style="4" customWidth="1"/>
    <col min="255" max="255" width="11" style="4" customWidth="1"/>
    <col min="256" max="256" width="10.53125" style="4" customWidth="1"/>
    <col min="257" max="257" width="11.53125" style="4" customWidth="1"/>
    <col min="258" max="495" width="7.53125" style="4"/>
    <col min="496" max="496" width="6.53125" style="4" customWidth="1"/>
    <col min="497" max="497" width="7.53125" style="4"/>
    <col min="498" max="498" width="7.46484375" style="4" customWidth="1"/>
    <col min="499" max="499" width="50.86328125" style="4" customWidth="1"/>
    <col min="500" max="500" width="12.86328125" style="4" customWidth="1"/>
    <col min="501" max="501" width="13" style="4" customWidth="1"/>
    <col min="502" max="502" width="14.46484375" style="4" customWidth="1"/>
    <col min="503" max="503" width="13.53125" style="4" customWidth="1"/>
    <col min="504" max="504" width="12.1328125" style="4" customWidth="1"/>
    <col min="505" max="505" width="11.86328125" style="4" customWidth="1"/>
    <col min="506" max="506" width="3.86328125" style="4" customWidth="1"/>
    <col min="507" max="507" width="11.86328125" style="4" customWidth="1"/>
    <col min="508" max="508" width="12.46484375" style="4" customWidth="1"/>
    <col min="509" max="509" width="12.1328125" style="4" customWidth="1"/>
    <col min="510" max="510" width="12.46484375" style="4" customWidth="1"/>
    <col min="511" max="511" width="11" style="4" customWidth="1"/>
    <col min="512" max="512" width="10.53125" style="4" customWidth="1"/>
    <col min="513" max="513" width="11.53125" style="4" customWidth="1"/>
    <col min="514" max="751" width="7.53125" style="4"/>
    <col min="752" max="752" width="6.53125" style="4" customWidth="1"/>
    <col min="753" max="753" width="7.53125" style="4"/>
    <col min="754" max="754" width="7.46484375" style="4" customWidth="1"/>
    <col min="755" max="755" width="50.86328125" style="4" customWidth="1"/>
    <col min="756" max="756" width="12.86328125" style="4" customWidth="1"/>
    <col min="757" max="757" width="13" style="4" customWidth="1"/>
    <col min="758" max="758" width="14.46484375" style="4" customWidth="1"/>
    <col min="759" max="759" width="13.53125" style="4" customWidth="1"/>
    <col min="760" max="760" width="12.1328125" style="4" customWidth="1"/>
    <col min="761" max="761" width="11.86328125" style="4" customWidth="1"/>
    <col min="762" max="762" width="3.86328125" style="4" customWidth="1"/>
    <col min="763" max="763" width="11.86328125" style="4" customWidth="1"/>
    <col min="764" max="764" width="12.46484375" style="4" customWidth="1"/>
    <col min="765" max="765" width="12.1328125" style="4" customWidth="1"/>
    <col min="766" max="766" width="12.46484375" style="4" customWidth="1"/>
    <col min="767" max="767" width="11" style="4" customWidth="1"/>
    <col min="768" max="768" width="10.53125" style="4" customWidth="1"/>
    <col min="769" max="769" width="11.53125" style="4" customWidth="1"/>
    <col min="770" max="1007" width="7.53125" style="4"/>
    <col min="1008" max="1008" width="6.53125" style="4" customWidth="1"/>
    <col min="1009" max="1009" width="7.53125" style="4"/>
    <col min="1010" max="1010" width="7.46484375" style="4" customWidth="1"/>
    <col min="1011" max="1011" width="50.86328125" style="4" customWidth="1"/>
    <col min="1012" max="1012" width="12.86328125" style="4" customWidth="1"/>
    <col min="1013" max="1013" width="13" style="4" customWidth="1"/>
    <col min="1014" max="1014" width="14.46484375" style="4" customWidth="1"/>
    <col min="1015" max="1015" width="13.53125" style="4" customWidth="1"/>
    <col min="1016" max="1016" width="12.1328125" style="4" customWidth="1"/>
    <col min="1017" max="1017" width="11.86328125" style="4" customWidth="1"/>
    <col min="1018" max="1018" width="3.86328125" style="4" customWidth="1"/>
    <col min="1019" max="1019" width="11.86328125" style="4" customWidth="1"/>
    <col min="1020" max="1020" width="12.46484375" style="4" customWidth="1"/>
    <col min="1021" max="1021" width="12.1328125" style="4" customWidth="1"/>
    <col min="1022" max="1022" width="12.46484375" style="4" customWidth="1"/>
    <col min="1023" max="1023" width="11" style="4" customWidth="1"/>
    <col min="1024" max="1024" width="10.53125" style="4" customWidth="1"/>
    <col min="1025" max="1025" width="11.53125" style="4" customWidth="1"/>
    <col min="1026" max="1263" width="7.53125" style="4"/>
    <col min="1264" max="1264" width="6.53125" style="4" customWidth="1"/>
    <col min="1265" max="1265" width="7.53125" style="4"/>
    <col min="1266" max="1266" width="7.46484375" style="4" customWidth="1"/>
    <col min="1267" max="1267" width="50.86328125" style="4" customWidth="1"/>
    <col min="1268" max="1268" width="12.86328125" style="4" customWidth="1"/>
    <col min="1269" max="1269" width="13" style="4" customWidth="1"/>
    <col min="1270" max="1270" width="14.46484375" style="4" customWidth="1"/>
    <col min="1271" max="1271" width="13.53125" style="4" customWidth="1"/>
    <col min="1272" max="1272" width="12.1328125" style="4" customWidth="1"/>
    <col min="1273" max="1273" width="11.86328125" style="4" customWidth="1"/>
    <col min="1274" max="1274" width="3.86328125" style="4" customWidth="1"/>
    <col min="1275" max="1275" width="11.86328125" style="4" customWidth="1"/>
    <col min="1276" max="1276" width="12.46484375" style="4" customWidth="1"/>
    <col min="1277" max="1277" width="12.1328125" style="4" customWidth="1"/>
    <col min="1278" max="1278" width="12.46484375" style="4" customWidth="1"/>
    <col min="1279" max="1279" width="11" style="4" customWidth="1"/>
    <col min="1280" max="1280" width="10.53125" style="4" customWidth="1"/>
    <col min="1281" max="1281" width="11.53125" style="4" customWidth="1"/>
    <col min="1282" max="1519" width="7.53125" style="4"/>
    <col min="1520" max="1520" width="6.53125" style="4" customWidth="1"/>
    <col min="1521" max="1521" width="7.53125" style="4"/>
    <col min="1522" max="1522" width="7.46484375" style="4" customWidth="1"/>
    <col min="1523" max="1523" width="50.86328125" style="4" customWidth="1"/>
    <col min="1524" max="1524" width="12.86328125" style="4" customWidth="1"/>
    <col min="1525" max="1525" width="13" style="4" customWidth="1"/>
    <col min="1526" max="1526" width="14.46484375" style="4" customWidth="1"/>
    <col min="1527" max="1527" width="13.53125" style="4" customWidth="1"/>
    <col min="1528" max="1528" width="12.1328125" style="4" customWidth="1"/>
    <col min="1529" max="1529" width="11.86328125" style="4" customWidth="1"/>
    <col min="1530" max="1530" width="3.86328125" style="4" customWidth="1"/>
    <col min="1531" max="1531" width="11.86328125" style="4" customWidth="1"/>
    <col min="1532" max="1532" width="12.46484375" style="4" customWidth="1"/>
    <col min="1533" max="1533" width="12.1328125" style="4" customWidth="1"/>
    <col min="1534" max="1534" width="12.46484375" style="4" customWidth="1"/>
    <col min="1535" max="1535" width="11" style="4" customWidth="1"/>
    <col min="1536" max="1536" width="10.53125" style="4" customWidth="1"/>
    <col min="1537" max="1537" width="11.53125" style="4" customWidth="1"/>
    <col min="1538" max="1775" width="7.53125" style="4"/>
    <col min="1776" max="1776" width="6.53125" style="4" customWidth="1"/>
    <col min="1777" max="1777" width="7.53125" style="4"/>
    <col min="1778" max="1778" width="7.46484375" style="4" customWidth="1"/>
    <col min="1779" max="1779" width="50.86328125" style="4" customWidth="1"/>
    <col min="1780" max="1780" width="12.86328125" style="4" customWidth="1"/>
    <col min="1781" max="1781" width="13" style="4" customWidth="1"/>
    <col min="1782" max="1782" width="14.46484375" style="4" customWidth="1"/>
    <col min="1783" max="1783" width="13.53125" style="4" customWidth="1"/>
    <col min="1784" max="1784" width="12.1328125" style="4" customWidth="1"/>
    <col min="1785" max="1785" width="11.86328125" style="4" customWidth="1"/>
    <col min="1786" max="1786" width="3.86328125" style="4" customWidth="1"/>
    <col min="1787" max="1787" width="11.86328125" style="4" customWidth="1"/>
    <col min="1788" max="1788" width="12.46484375" style="4" customWidth="1"/>
    <col min="1789" max="1789" width="12.1328125" style="4" customWidth="1"/>
    <col min="1790" max="1790" width="12.46484375" style="4" customWidth="1"/>
    <col min="1791" max="1791" width="11" style="4" customWidth="1"/>
    <col min="1792" max="1792" width="10.53125" style="4" customWidth="1"/>
    <col min="1793" max="1793" width="11.53125" style="4" customWidth="1"/>
    <col min="1794" max="2031" width="7.53125" style="4"/>
    <col min="2032" max="2032" width="6.53125" style="4" customWidth="1"/>
    <col min="2033" max="2033" width="7.53125" style="4"/>
    <col min="2034" max="2034" width="7.46484375" style="4" customWidth="1"/>
    <col min="2035" max="2035" width="50.86328125" style="4" customWidth="1"/>
    <col min="2036" max="2036" width="12.86328125" style="4" customWidth="1"/>
    <col min="2037" max="2037" width="13" style="4" customWidth="1"/>
    <col min="2038" max="2038" width="14.46484375" style="4" customWidth="1"/>
    <col min="2039" max="2039" width="13.53125" style="4" customWidth="1"/>
    <col min="2040" max="2040" width="12.1328125" style="4" customWidth="1"/>
    <col min="2041" max="2041" width="11.86328125" style="4" customWidth="1"/>
    <col min="2042" max="2042" width="3.86328125" style="4" customWidth="1"/>
    <col min="2043" max="2043" width="11.86328125" style="4" customWidth="1"/>
    <col min="2044" max="2044" width="12.46484375" style="4" customWidth="1"/>
    <col min="2045" max="2045" width="12.1328125" style="4" customWidth="1"/>
    <col min="2046" max="2046" width="12.46484375" style="4" customWidth="1"/>
    <col min="2047" max="2047" width="11" style="4" customWidth="1"/>
    <col min="2048" max="2048" width="10.53125" style="4" customWidth="1"/>
    <col min="2049" max="2049" width="11.53125" style="4" customWidth="1"/>
    <col min="2050" max="2287" width="7.53125" style="4"/>
    <col min="2288" max="2288" width="6.53125" style="4" customWidth="1"/>
    <col min="2289" max="2289" width="7.53125" style="4"/>
    <col min="2290" max="2290" width="7.46484375" style="4" customWidth="1"/>
    <col min="2291" max="2291" width="50.86328125" style="4" customWidth="1"/>
    <col min="2292" max="2292" width="12.86328125" style="4" customWidth="1"/>
    <col min="2293" max="2293" width="13" style="4" customWidth="1"/>
    <col min="2294" max="2294" width="14.46484375" style="4" customWidth="1"/>
    <col min="2295" max="2295" width="13.53125" style="4" customWidth="1"/>
    <col min="2296" max="2296" width="12.1328125" style="4" customWidth="1"/>
    <col min="2297" max="2297" width="11.86328125" style="4" customWidth="1"/>
    <col min="2298" max="2298" width="3.86328125" style="4" customWidth="1"/>
    <col min="2299" max="2299" width="11.86328125" style="4" customWidth="1"/>
    <col min="2300" max="2300" width="12.46484375" style="4" customWidth="1"/>
    <col min="2301" max="2301" width="12.1328125" style="4" customWidth="1"/>
    <col min="2302" max="2302" width="12.46484375" style="4" customWidth="1"/>
    <col min="2303" max="2303" width="11" style="4" customWidth="1"/>
    <col min="2304" max="2304" width="10.53125" style="4" customWidth="1"/>
    <col min="2305" max="2305" width="11.53125" style="4" customWidth="1"/>
    <col min="2306" max="2543" width="7.53125" style="4"/>
    <col min="2544" max="2544" width="6.53125" style="4" customWidth="1"/>
    <col min="2545" max="2545" width="7.53125" style="4"/>
    <col min="2546" max="2546" width="7.46484375" style="4" customWidth="1"/>
    <col min="2547" max="2547" width="50.86328125" style="4" customWidth="1"/>
    <col min="2548" max="2548" width="12.86328125" style="4" customWidth="1"/>
    <col min="2549" max="2549" width="13" style="4" customWidth="1"/>
    <col min="2550" max="2550" width="14.46484375" style="4" customWidth="1"/>
    <col min="2551" max="2551" width="13.53125" style="4" customWidth="1"/>
    <col min="2552" max="2552" width="12.1328125" style="4" customWidth="1"/>
    <col min="2553" max="2553" width="11.86328125" style="4" customWidth="1"/>
    <col min="2554" max="2554" width="3.86328125" style="4" customWidth="1"/>
    <col min="2555" max="2555" width="11.86328125" style="4" customWidth="1"/>
    <col min="2556" max="2556" width="12.46484375" style="4" customWidth="1"/>
    <col min="2557" max="2557" width="12.1328125" style="4" customWidth="1"/>
    <col min="2558" max="2558" width="12.46484375" style="4" customWidth="1"/>
    <col min="2559" max="2559" width="11" style="4" customWidth="1"/>
    <col min="2560" max="2560" width="10.53125" style="4" customWidth="1"/>
    <col min="2561" max="2561" width="11.53125" style="4" customWidth="1"/>
    <col min="2562" max="2799" width="7.53125" style="4"/>
    <col min="2800" max="2800" width="6.53125" style="4" customWidth="1"/>
    <col min="2801" max="2801" width="7.53125" style="4"/>
    <col min="2802" max="2802" width="7.46484375" style="4" customWidth="1"/>
    <col min="2803" max="2803" width="50.86328125" style="4" customWidth="1"/>
    <col min="2804" max="2804" width="12.86328125" style="4" customWidth="1"/>
    <col min="2805" max="2805" width="13" style="4" customWidth="1"/>
    <col min="2806" max="2806" width="14.46484375" style="4" customWidth="1"/>
    <col min="2807" max="2807" width="13.53125" style="4" customWidth="1"/>
    <col min="2808" max="2808" width="12.1328125" style="4" customWidth="1"/>
    <col min="2809" max="2809" width="11.86328125" style="4" customWidth="1"/>
    <col min="2810" max="2810" width="3.86328125" style="4" customWidth="1"/>
    <col min="2811" max="2811" width="11.86328125" style="4" customWidth="1"/>
    <col min="2812" max="2812" width="12.46484375" style="4" customWidth="1"/>
    <col min="2813" max="2813" width="12.1328125" style="4" customWidth="1"/>
    <col min="2814" max="2814" width="12.46484375" style="4" customWidth="1"/>
    <col min="2815" max="2815" width="11" style="4" customWidth="1"/>
    <col min="2816" max="2816" width="10.53125" style="4" customWidth="1"/>
    <col min="2817" max="2817" width="11.53125" style="4" customWidth="1"/>
    <col min="2818" max="3055" width="7.53125" style="4"/>
    <col min="3056" max="3056" width="6.53125" style="4" customWidth="1"/>
    <col min="3057" max="3057" width="7.53125" style="4"/>
    <col min="3058" max="3058" width="7.46484375" style="4" customWidth="1"/>
    <col min="3059" max="3059" width="50.86328125" style="4" customWidth="1"/>
    <col min="3060" max="3060" width="12.86328125" style="4" customWidth="1"/>
    <col min="3061" max="3061" width="13" style="4" customWidth="1"/>
    <col min="3062" max="3062" width="14.46484375" style="4" customWidth="1"/>
    <col min="3063" max="3063" width="13.53125" style="4" customWidth="1"/>
    <col min="3064" max="3064" width="12.1328125" style="4" customWidth="1"/>
    <col min="3065" max="3065" width="11.86328125" style="4" customWidth="1"/>
    <col min="3066" max="3066" width="3.86328125" style="4" customWidth="1"/>
    <col min="3067" max="3067" width="11.86328125" style="4" customWidth="1"/>
    <col min="3068" max="3068" width="12.46484375" style="4" customWidth="1"/>
    <col min="3069" max="3069" width="12.1328125" style="4" customWidth="1"/>
    <col min="3070" max="3070" width="12.46484375" style="4" customWidth="1"/>
    <col min="3071" max="3071" width="11" style="4" customWidth="1"/>
    <col min="3072" max="3072" width="10.53125" style="4" customWidth="1"/>
    <col min="3073" max="3073" width="11.53125" style="4" customWidth="1"/>
    <col min="3074" max="3311" width="7.53125" style="4"/>
    <col min="3312" max="3312" width="6.53125" style="4" customWidth="1"/>
    <col min="3313" max="3313" width="7.53125" style="4"/>
    <col min="3314" max="3314" width="7.46484375" style="4" customWidth="1"/>
    <col min="3315" max="3315" width="50.86328125" style="4" customWidth="1"/>
    <col min="3316" max="3316" width="12.86328125" style="4" customWidth="1"/>
    <col min="3317" max="3317" width="13" style="4" customWidth="1"/>
    <col min="3318" max="3318" width="14.46484375" style="4" customWidth="1"/>
    <col min="3319" max="3319" width="13.53125" style="4" customWidth="1"/>
    <col min="3320" max="3320" width="12.1328125" style="4" customWidth="1"/>
    <col min="3321" max="3321" width="11.86328125" style="4" customWidth="1"/>
    <col min="3322" max="3322" width="3.86328125" style="4" customWidth="1"/>
    <col min="3323" max="3323" width="11.86328125" style="4" customWidth="1"/>
    <col min="3324" max="3324" width="12.46484375" style="4" customWidth="1"/>
    <col min="3325" max="3325" width="12.1328125" style="4" customWidth="1"/>
    <col min="3326" max="3326" width="12.46484375" style="4" customWidth="1"/>
    <col min="3327" max="3327" width="11" style="4" customWidth="1"/>
    <col min="3328" max="3328" width="10.53125" style="4" customWidth="1"/>
    <col min="3329" max="3329" width="11.53125" style="4" customWidth="1"/>
    <col min="3330" max="3567" width="7.53125" style="4"/>
    <col min="3568" max="3568" width="6.53125" style="4" customWidth="1"/>
    <col min="3569" max="3569" width="7.53125" style="4"/>
    <col min="3570" max="3570" width="7.46484375" style="4" customWidth="1"/>
    <col min="3571" max="3571" width="50.86328125" style="4" customWidth="1"/>
    <col min="3572" max="3572" width="12.86328125" style="4" customWidth="1"/>
    <col min="3573" max="3573" width="13" style="4" customWidth="1"/>
    <col min="3574" max="3574" width="14.46484375" style="4" customWidth="1"/>
    <col min="3575" max="3575" width="13.53125" style="4" customWidth="1"/>
    <col min="3576" max="3576" width="12.1328125" style="4" customWidth="1"/>
    <col min="3577" max="3577" width="11.86328125" style="4" customWidth="1"/>
    <col min="3578" max="3578" width="3.86328125" style="4" customWidth="1"/>
    <col min="3579" max="3579" width="11.86328125" style="4" customWidth="1"/>
    <col min="3580" max="3580" width="12.46484375" style="4" customWidth="1"/>
    <col min="3581" max="3581" width="12.1328125" style="4" customWidth="1"/>
    <col min="3582" max="3582" width="12.46484375" style="4" customWidth="1"/>
    <col min="3583" max="3583" width="11" style="4" customWidth="1"/>
    <col min="3584" max="3584" width="10.53125" style="4" customWidth="1"/>
    <col min="3585" max="3585" width="11.53125" style="4" customWidth="1"/>
    <col min="3586" max="3823" width="7.53125" style="4"/>
    <col min="3824" max="3824" width="6.53125" style="4" customWidth="1"/>
    <col min="3825" max="3825" width="7.53125" style="4"/>
    <col min="3826" max="3826" width="7.46484375" style="4" customWidth="1"/>
    <col min="3827" max="3827" width="50.86328125" style="4" customWidth="1"/>
    <col min="3828" max="3828" width="12.86328125" style="4" customWidth="1"/>
    <col min="3829" max="3829" width="13" style="4" customWidth="1"/>
    <col min="3830" max="3830" width="14.46484375" style="4" customWidth="1"/>
    <col min="3831" max="3831" width="13.53125" style="4" customWidth="1"/>
    <col min="3832" max="3832" width="12.1328125" style="4" customWidth="1"/>
    <col min="3833" max="3833" width="11.86328125" style="4" customWidth="1"/>
    <col min="3834" max="3834" width="3.86328125" style="4" customWidth="1"/>
    <col min="3835" max="3835" width="11.86328125" style="4" customWidth="1"/>
    <col min="3836" max="3836" width="12.46484375" style="4" customWidth="1"/>
    <col min="3837" max="3837" width="12.1328125" style="4" customWidth="1"/>
    <col min="3838" max="3838" width="12.46484375" style="4" customWidth="1"/>
    <col min="3839" max="3839" width="11" style="4" customWidth="1"/>
    <col min="3840" max="3840" width="10.53125" style="4" customWidth="1"/>
    <col min="3841" max="3841" width="11.53125" style="4" customWidth="1"/>
    <col min="3842" max="4079" width="7.53125" style="4"/>
    <col min="4080" max="4080" width="6.53125" style="4" customWidth="1"/>
    <col min="4081" max="4081" width="7.53125" style="4"/>
    <col min="4082" max="4082" width="7.46484375" style="4" customWidth="1"/>
    <col min="4083" max="4083" width="50.86328125" style="4" customWidth="1"/>
    <col min="4084" max="4084" width="12.86328125" style="4" customWidth="1"/>
    <col min="4085" max="4085" width="13" style="4" customWidth="1"/>
    <col min="4086" max="4086" width="14.46484375" style="4" customWidth="1"/>
    <col min="4087" max="4087" width="13.53125" style="4" customWidth="1"/>
    <col min="4088" max="4088" width="12.1328125" style="4" customWidth="1"/>
    <col min="4089" max="4089" width="11.86328125" style="4" customWidth="1"/>
    <col min="4090" max="4090" width="3.86328125" style="4" customWidth="1"/>
    <col min="4091" max="4091" width="11.86328125" style="4" customWidth="1"/>
    <col min="4092" max="4092" width="12.46484375" style="4" customWidth="1"/>
    <col min="4093" max="4093" width="12.1328125" style="4" customWidth="1"/>
    <col min="4094" max="4094" width="12.46484375" style="4" customWidth="1"/>
    <col min="4095" max="4095" width="11" style="4" customWidth="1"/>
    <col min="4096" max="4096" width="10.53125" style="4" customWidth="1"/>
    <col min="4097" max="4097" width="11.53125" style="4" customWidth="1"/>
    <col min="4098" max="4335" width="7.53125" style="4"/>
    <col min="4336" max="4336" width="6.53125" style="4" customWidth="1"/>
    <col min="4337" max="4337" width="7.53125" style="4"/>
    <col min="4338" max="4338" width="7.46484375" style="4" customWidth="1"/>
    <col min="4339" max="4339" width="50.86328125" style="4" customWidth="1"/>
    <col min="4340" max="4340" width="12.86328125" style="4" customWidth="1"/>
    <col min="4341" max="4341" width="13" style="4" customWidth="1"/>
    <col min="4342" max="4342" width="14.46484375" style="4" customWidth="1"/>
    <col min="4343" max="4343" width="13.53125" style="4" customWidth="1"/>
    <col min="4344" max="4344" width="12.1328125" style="4" customWidth="1"/>
    <col min="4345" max="4345" width="11.86328125" style="4" customWidth="1"/>
    <col min="4346" max="4346" width="3.86328125" style="4" customWidth="1"/>
    <col min="4347" max="4347" width="11.86328125" style="4" customWidth="1"/>
    <col min="4348" max="4348" width="12.46484375" style="4" customWidth="1"/>
    <col min="4349" max="4349" width="12.1328125" style="4" customWidth="1"/>
    <col min="4350" max="4350" width="12.46484375" style="4" customWidth="1"/>
    <col min="4351" max="4351" width="11" style="4" customWidth="1"/>
    <col min="4352" max="4352" width="10.53125" style="4" customWidth="1"/>
    <col min="4353" max="4353" width="11.53125" style="4" customWidth="1"/>
    <col min="4354" max="4591" width="7.53125" style="4"/>
    <col min="4592" max="4592" width="6.53125" style="4" customWidth="1"/>
    <col min="4593" max="4593" width="7.53125" style="4"/>
    <col min="4594" max="4594" width="7.46484375" style="4" customWidth="1"/>
    <col min="4595" max="4595" width="50.86328125" style="4" customWidth="1"/>
    <col min="4596" max="4596" width="12.86328125" style="4" customWidth="1"/>
    <col min="4597" max="4597" width="13" style="4" customWidth="1"/>
    <col min="4598" max="4598" width="14.46484375" style="4" customWidth="1"/>
    <col min="4599" max="4599" width="13.53125" style="4" customWidth="1"/>
    <col min="4600" max="4600" width="12.1328125" style="4" customWidth="1"/>
    <col min="4601" max="4601" width="11.86328125" style="4" customWidth="1"/>
    <col min="4602" max="4602" width="3.86328125" style="4" customWidth="1"/>
    <col min="4603" max="4603" width="11.86328125" style="4" customWidth="1"/>
    <col min="4604" max="4604" width="12.46484375" style="4" customWidth="1"/>
    <col min="4605" max="4605" width="12.1328125" style="4" customWidth="1"/>
    <col min="4606" max="4606" width="12.46484375" style="4" customWidth="1"/>
    <col min="4607" max="4607" width="11" style="4" customWidth="1"/>
    <col min="4608" max="4608" width="10.53125" style="4" customWidth="1"/>
    <col min="4609" max="4609" width="11.53125" style="4" customWidth="1"/>
    <col min="4610" max="4847" width="7.53125" style="4"/>
    <col min="4848" max="4848" width="6.53125" style="4" customWidth="1"/>
    <col min="4849" max="4849" width="7.53125" style="4"/>
    <col min="4850" max="4850" width="7.46484375" style="4" customWidth="1"/>
    <col min="4851" max="4851" width="50.86328125" style="4" customWidth="1"/>
    <col min="4852" max="4852" width="12.86328125" style="4" customWidth="1"/>
    <col min="4853" max="4853" width="13" style="4" customWidth="1"/>
    <col min="4854" max="4854" width="14.46484375" style="4" customWidth="1"/>
    <col min="4855" max="4855" width="13.53125" style="4" customWidth="1"/>
    <col min="4856" max="4856" width="12.1328125" style="4" customWidth="1"/>
    <col min="4857" max="4857" width="11.86328125" style="4" customWidth="1"/>
    <col min="4858" max="4858" width="3.86328125" style="4" customWidth="1"/>
    <col min="4859" max="4859" width="11.86328125" style="4" customWidth="1"/>
    <col min="4860" max="4860" width="12.46484375" style="4" customWidth="1"/>
    <col min="4861" max="4861" width="12.1328125" style="4" customWidth="1"/>
    <col min="4862" max="4862" width="12.46484375" style="4" customWidth="1"/>
    <col min="4863" max="4863" width="11" style="4" customWidth="1"/>
    <col min="4864" max="4864" width="10.53125" style="4" customWidth="1"/>
    <col min="4865" max="4865" width="11.53125" style="4" customWidth="1"/>
    <col min="4866" max="5103" width="7.53125" style="4"/>
    <col min="5104" max="5104" width="6.53125" style="4" customWidth="1"/>
    <col min="5105" max="5105" width="7.53125" style="4"/>
    <col min="5106" max="5106" width="7.46484375" style="4" customWidth="1"/>
    <col min="5107" max="5107" width="50.86328125" style="4" customWidth="1"/>
    <col min="5108" max="5108" width="12.86328125" style="4" customWidth="1"/>
    <col min="5109" max="5109" width="13" style="4" customWidth="1"/>
    <col min="5110" max="5110" width="14.46484375" style="4" customWidth="1"/>
    <col min="5111" max="5111" width="13.53125" style="4" customWidth="1"/>
    <col min="5112" max="5112" width="12.1328125" style="4" customWidth="1"/>
    <col min="5113" max="5113" width="11.86328125" style="4" customWidth="1"/>
    <col min="5114" max="5114" width="3.86328125" style="4" customWidth="1"/>
    <col min="5115" max="5115" width="11.86328125" style="4" customWidth="1"/>
    <col min="5116" max="5116" width="12.46484375" style="4" customWidth="1"/>
    <col min="5117" max="5117" width="12.1328125" style="4" customWidth="1"/>
    <col min="5118" max="5118" width="12.46484375" style="4" customWidth="1"/>
    <col min="5119" max="5119" width="11" style="4" customWidth="1"/>
    <col min="5120" max="5120" width="10.53125" style="4" customWidth="1"/>
    <col min="5121" max="5121" width="11.53125" style="4" customWidth="1"/>
    <col min="5122" max="5359" width="7.53125" style="4"/>
    <col min="5360" max="5360" width="6.53125" style="4" customWidth="1"/>
    <col min="5361" max="5361" width="7.53125" style="4"/>
    <col min="5362" max="5362" width="7.46484375" style="4" customWidth="1"/>
    <col min="5363" max="5363" width="50.86328125" style="4" customWidth="1"/>
    <col min="5364" max="5364" width="12.86328125" style="4" customWidth="1"/>
    <col min="5365" max="5365" width="13" style="4" customWidth="1"/>
    <col min="5366" max="5366" width="14.46484375" style="4" customWidth="1"/>
    <col min="5367" max="5367" width="13.53125" style="4" customWidth="1"/>
    <col min="5368" max="5368" width="12.1328125" style="4" customWidth="1"/>
    <col min="5369" max="5369" width="11.86328125" style="4" customWidth="1"/>
    <col min="5370" max="5370" width="3.86328125" style="4" customWidth="1"/>
    <col min="5371" max="5371" width="11.86328125" style="4" customWidth="1"/>
    <col min="5372" max="5372" width="12.46484375" style="4" customWidth="1"/>
    <col min="5373" max="5373" width="12.1328125" style="4" customWidth="1"/>
    <col min="5374" max="5374" width="12.46484375" style="4" customWidth="1"/>
    <col min="5375" max="5375" width="11" style="4" customWidth="1"/>
    <col min="5376" max="5376" width="10.53125" style="4" customWidth="1"/>
    <col min="5377" max="5377" width="11.53125" style="4" customWidth="1"/>
    <col min="5378" max="5615" width="7.53125" style="4"/>
    <col min="5616" max="5616" width="6.53125" style="4" customWidth="1"/>
    <col min="5617" max="5617" width="7.53125" style="4"/>
    <col min="5618" max="5618" width="7.46484375" style="4" customWidth="1"/>
    <col min="5619" max="5619" width="50.86328125" style="4" customWidth="1"/>
    <col min="5620" max="5620" width="12.86328125" style="4" customWidth="1"/>
    <col min="5621" max="5621" width="13" style="4" customWidth="1"/>
    <col min="5622" max="5622" width="14.46484375" style="4" customWidth="1"/>
    <col min="5623" max="5623" width="13.53125" style="4" customWidth="1"/>
    <col min="5624" max="5624" width="12.1328125" style="4" customWidth="1"/>
    <col min="5625" max="5625" width="11.86328125" style="4" customWidth="1"/>
    <col min="5626" max="5626" width="3.86328125" style="4" customWidth="1"/>
    <col min="5627" max="5627" width="11.86328125" style="4" customWidth="1"/>
    <col min="5628" max="5628" width="12.46484375" style="4" customWidth="1"/>
    <col min="5629" max="5629" width="12.1328125" style="4" customWidth="1"/>
    <col min="5630" max="5630" width="12.46484375" style="4" customWidth="1"/>
    <col min="5631" max="5631" width="11" style="4" customWidth="1"/>
    <col min="5632" max="5632" width="10.53125" style="4" customWidth="1"/>
    <col min="5633" max="5633" width="11.53125" style="4" customWidth="1"/>
    <col min="5634" max="5871" width="7.53125" style="4"/>
    <col min="5872" max="5872" width="6.53125" style="4" customWidth="1"/>
    <col min="5873" max="5873" width="7.53125" style="4"/>
    <col min="5874" max="5874" width="7.46484375" style="4" customWidth="1"/>
    <col min="5875" max="5875" width="50.86328125" style="4" customWidth="1"/>
    <col min="5876" max="5876" width="12.86328125" style="4" customWidth="1"/>
    <col min="5877" max="5877" width="13" style="4" customWidth="1"/>
    <col min="5878" max="5878" width="14.46484375" style="4" customWidth="1"/>
    <col min="5879" max="5879" width="13.53125" style="4" customWidth="1"/>
    <col min="5880" max="5880" width="12.1328125" style="4" customWidth="1"/>
    <col min="5881" max="5881" width="11.86328125" style="4" customWidth="1"/>
    <col min="5882" max="5882" width="3.86328125" style="4" customWidth="1"/>
    <col min="5883" max="5883" width="11.86328125" style="4" customWidth="1"/>
    <col min="5884" max="5884" width="12.46484375" style="4" customWidth="1"/>
    <col min="5885" max="5885" width="12.1328125" style="4" customWidth="1"/>
    <col min="5886" max="5886" width="12.46484375" style="4" customWidth="1"/>
    <col min="5887" max="5887" width="11" style="4" customWidth="1"/>
    <col min="5888" max="5888" width="10.53125" style="4" customWidth="1"/>
    <col min="5889" max="5889" width="11.53125" style="4" customWidth="1"/>
    <col min="5890" max="6127" width="7.53125" style="4"/>
    <col min="6128" max="6128" width="6.53125" style="4" customWidth="1"/>
    <col min="6129" max="6129" width="7.53125" style="4"/>
    <col min="6130" max="6130" width="7.46484375" style="4" customWidth="1"/>
    <col min="6131" max="6131" width="50.86328125" style="4" customWidth="1"/>
    <col min="6132" max="6132" width="12.86328125" style="4" customWidth="1"/>
    <col min="6133" max="6133" width="13" style="4" customWidth="1"/>
    <col min="6134" max="6134" width="14.46484375" style="4" customWidth="1"/>
    <col min="6135" max="6135" width="13.53125" style="4" customWidth="1"/>
    <col min="6136" max="6136" width="12.1328125" style="4" customWidth="1"/>
    <col min="6137" max="6137" width="11.86328125" style="4" customWidth="1"/>
    <col min="6138" max="6138" width="3.86328125" style="4" customWidth="1"/>
    <col min="6139" max="6139" width="11.86328125" style="4" customWidth="1"/>
    <col min="6140" max="6140" width="12.46484375" style="4" customWidth="1"/>
    <col min="6141" max="6141" width="12.1328125" style="4" customWidth="1"/>
    <col min="6142" max="6142" width="12.46484375" style="4" customWidth="1"/>
    <col min="6143" max="6143" width="11" style="4" customWidth="1"/>
    <col min="6144" max="6144" width="10.53125" style="4" customWidth="1"/>
    <col min="6145" max="6145" width="11.53125" style="4" customWidth="1"/>
    <col min="6146" max="6383" width="7.53125" style="4"/>
    <col min="6384" max="6384" width="6.53125" style="4" customWidth="1"/>
    <col min="6385" max="6385" width="7.53125" style="4"/>
    <col min="6386" max="6386" width="7.46484375" style="4" customWidth="1"/>
    <col min="6387" max="6387" width="50.86328125" style="4" customWidth="1"/>
    <col min="6388" max="6388" width="12.86328125" style="4" customWidth="1"/>
    <col min="6389" max="6389" width="13" style="4" customWidth="1"/>
    <col min="6390" max="6390" width="14.46484375" style="4" customWidth="1"/>
    <col min="6391" max="6391" width="13.53125" style="4" customWidth="1"/>
    <col min="6392" max="6392" width="12.1328125" style="4" customWidth="1"/>
    <col min="6393" max="6393" width="11.86328125" style="4" customWidth="1"/>
    <col min="6394" max="6394" width="3.86328125" style="4" customWidth="1"/>
    <col min="6395" max="6395" width="11.86328125" style="4" customWidth="1"/>
    <col min="6396" max="6396" width="12.46484375" style="4" customWidth="1"/>
    <col min="6397" max="6397" width="12.1328125" style="4" customWidth="1"/>
    <col min="6398" max="6398" width="12.46484375" style="4" customWidth="1"/>
    <col min="6399" max="6399" width="11" style="4" customWidth="1"/>
    <col min="6400" max="6400" width="10.53125" style="4" customWidth="1"/>
    <col min="6401" max="6401" width="11.53125" style="4" customWidth="1"/>
    <col min="6402" max="6639" width="7.53125" style="4"/>
    <col min="6640" max="6640" width="6.53125" style="4" customWidth="1"/>
    <col min="6641" max="6641" width="7.53125" style="4"/>
    <col min="6642" max="6642" width="7.46484375" style="4" customWidth="1"/>
    <col min="6643" max="6643" width="50.86328125" style="4" customWidth="1"/>
    <col min="6644" max="6644" width="12.86328125" style="4" customWidth="1"/>
    <col min="6645" max="6645" width="13" style="4" customWidth="1"/>
    <col min="6646" max="6646" width="14.46484375" style="4" customWidth="1"/>
    <col min="6647" max="6647" width="13.53125" style="4" customWidth="1"/>
    <col min="6648" max="6648" width="12.1328125" style="4" customWidth="1"/>
    <col min="6649" max="6649" width="11.86328125" style="4" customWidth="1"/>
    <col min="6650" max="6650" width="3.86328125" style="4" customWidth="1"/>
    <col min="6651" max="6651" width="11.86328125" style="4" customWidth="1"/>
    <col min="6652" max="6652" width="12.46484375" style="4" customWidth="1"/>
    <col min="6653" max="6653" width="12.1328125" style="4" customWidth="1"/>
    <col min="6654" max="6654" width="12.46484375" style="4" customWidth="1"/>
    <col min="6655" max="6655" width="11" style="4" customWidth="1"/>
    <col min="6656" max="6656" width="10.53125" style="4" customWidth="1"/>
    <col min="6657" max="6657" width="11.53125" style="4" customWidth="1"/>
    <col min="6658" max="6895" width="7.53125" style="4"/>
    <col min="6896" max="6896" width="6.53125" style="4" customWidth="1"/>
    <col min="6897" max="6897" width="7.53125" style="4"/>
    <col min="6898" max="6898" width="7.46484375" style="4" customWidth="1"/>
    <col min="6899" max="6899" width="50.86328125" style="4" customWidth="1"/>
    <col min="6900" max="6900" width="12.86328125" style="4" customWidth="1"/>
    <col min="6901" max="6901" width="13" style="4" customWidth="1"/>
    <col min="6902" max="6902" width="14.46484375" style="4" customWidth="1"/>
    <col min="6903" max="6903" width="13.53125" style="4" customWidth="1"/>
    <col min="6904" max="6904" width="12.1328125" style="4" customWidth="1"/>
    <col min="6905" max="6905" width="11.86328125" style="4" customWidth="1"/>
    <col min="6906" max="6906" width="3.86328125" style="4" customWidth="1"/>
    <col min="6907" max="6907" width="11.86328125" style="4" customWidth="1"/>
    <col min="6908" max="6908" width="12.46484375" style="4" customWidth="1"/>
    <col min="6909" max="6909" width="12.1328125" style="4" customWidth="1"/>
    <col min="6910" max="6910" width="12.46484375" style="4" customWidth="1"/>
    <col min="6911" max="6911" width="11" style="4" customWidth="1"/>
    <col min="6912" max="6912" width="10.53125" style="4" customWidth="1"/>
    <col min="6913" max="6913" width="11.53125" style="4" customWidth="1"/>
    <col min="6914" max="7151" width="7.53125" style="4"/>
    <col min="7152" max="7152" width="6.53125" style="4" customWidth="1"/>
    <col min="7153" max="7153" width="7.53125" style="4"/>
    <col min="7154" max="7154" width="7.46484375" style="4" customWidth="1"/>
    <col min="7155" max="7155" width="50.86328125" style="4" customWidth="1"/>
    <col min="7156" max="7156" width="12.86328125" style="4" customWidth="1"/>
    <col min="7157" max="7157" width="13" style="4" customWidth="1"/>
    <col min="7158" max="7158" width="14.46484375" style="4" customWidth="1"/>
    <col min="7159" max="7159" width="13.53125" style="4" customWidth="1"/>
    <col min="7160" max="7160" width="12.1328125" style="4" customWidth="1"/>
    <col min="7161" max="7161" width="11.86328125" style="4" customWidth="1"/>
    <col min="7162" max="7162" width="3.86328125" style="4" customWidth="1"/>
    <col min="7163" max="7163" width="11.86328125" style="4" customWidth="1"/>
    <col min="7164" max="7164" width="12.46484375" style="4" customWidth="1"/>
    <col min="7165" max="7165" width="12.1328125" style="4" customWidth="1"/>
    <col min="7166" max="7166" width="12.46484375" style="4" customWidth="1"/>
    <col min="7167" max="7167" width="11" style="4" customWidth="1"/>
    <col min="7168" max="7168" width="10.53125" style="4" customWidth="1"/>
    <col min="7169" max="7169" width="11.53125" style="4" customWidth="1"/>
    <col min="7170" max="7407" width="7.53125" style="4"/>
    <col min="7408" max="7408" width="6.53125" style="4" customWidth="1"/>
    <col min="7409" max="7409" width="7.53125" style="4"/>
    <col min="7410" max="7410" width="7.46484375" style="4" customWidth="1"/>
    <col min="7411" max="7411" width="50.86328125" style="4" customWidth="1"/>
    <col min="7412" max="7412" width="12.86328125" style="4" customWidth="1"/>
    <col min="7413" max="7413" width="13" style="4" customWidth="1"/>
    <col min="7414" max="7414" width="14.46484375" style="4" customWidth="1"/>
    <col min="7415" max="7415" width="13.53125" style="4" customWidth="1"/>
    <col min="7416" max="7416" width="12.1328125" style="4" customWidth="1"/>
    <col min="7417" max="7417" width="11.86328125" style="4" customWidth="1"/>
    <col min="7418" max="7418" width="3.86328125" style="4" customWidth="1"/>
    <col min="7419" max="7419" width="11.86328125" style="4" customWidth="1"/>
    <col min="7420" max="7420" width="12.46484375" style="4" customWidth="1"/>
    <col min="7421" max="7421" width="12.1328125" style="4" customWidth="1"/>
    <col min="7422" max="7422" width="12.46484375" style="4" customWidth="1"/>
    <col min="7423" max="7423" width="11" style="4" customWidth="1"/>
    <col min="7424" max="7424" width="10.53125" style="4" customWidth="1"/>
    <col min="7425" max="7425" width="11.53125" style="4" customWidth="1"/>
    <col min="7426" max="7663" width="7.53125" style="4"/>
    <col min="7664" max="7664" width="6.53125" style="4" customWidth="1"/>
    <col min="7665" max="7665" width="7.53125" style="4"/>
    <col min="7666" max="7666" width="7.46484375" style="4" customWidth="1"/>
    <col min="7667" max="7667" width="50.86328125" style="4" customWidth="1"/>
    <col min="7668" max="7668" width="12.86328125" style="4" customWidth="1"/>
    <col min="7669" max="7669" width="13" style="4" customWidth="1"/>
    <col min="7670" max="7670" width="14.46484375" style="4" customWidth="1"/>
    <col min="7671" max="7671" width="13.53125" style="4" customWidth="1"/>
    <col min="7672" max="7672" width="12.1328125" style="4" customWidth="1"/>
    <col min="7673" max="7673" width="11.86328125" style="4" customWidth="1"/>
    <col min="7674" max="7674" width="3.86328125" style="4" customWidth="1"/>
    <col min="7675" max="7675" width="11.86328125" style="4" customWidth="1"/>
    <col min="7676" max="7676" width="12.46484375" style="4" customWidth="1"/>
    <col min="7677" max="7677" width="12.1328125" style="4" customWidth="1"/>
    <col min="7678" max="7678" width="12.46484375" style="4" customWidth="1"/>
    <col min="7679" max="7679" width="11" style="4" customWidth="1"/>
    <col min="7680" max="7680" width="10.53125" style="4" customWidth="1"/>
    <col min="7681" max="7681" width="11.53125" style="4" customWidth="1"/>
    <col min="7682" max="7919" width="7.53125" style="4"/>
    <col min="7920" max="7920" width="6.53125" style="4" customWidth="1"/>
    <col min="7921" max="7921" width="7.53125" style="4"/>
    <col min="7922" max="7922" width="7.46484375" style="4" customWidth="1"/>
    <col min="7923" max="7923" width="50.86328125" style="4" customWidth="1"/>
    <col min="7924" max="7924" width="12.86328125" style="4" customWidth="1"/>
    <col min="7925" max="7925" width="13" style="4" customWidth="1"/>
    <col min="7926" max="7926" width="14.46484375" style="4" customWidth="1"/>
    <col min="7927" max="7927" width="13.53125" style="4" customWidth="1"/>
    <col min="7928" max="7928" width="12.1328125" style="4" customWidth="1"/>
    <col min="7929" max="7929" width="11.86328125" style="4" customWidth="1"/>
    <col min="7930" max="7930" width="3.86328125" style="4" customWidth="1"/>
    <col min="7931" max="7931" width="11.86328125" style="4" customWidth="1"/>
    <col min="7932" max="7932" width="12.46484375" style="4" customWidth="1"/>
    <col min="7933" max="7933" width="12.1328125" style="4" customWidth="1"/>
    <col min="7934" max="7934" width="12.46484375" style="4" customWidth="1"/>
    <col min="7935" max="7935" width="11" style="4" customWidth="1"/>
    <col min="7936" max="7936" width="10.53125" style="4" customWidth="1"/>
    <col min="7937" max="7937" width="11.53125" style="4" customWidth="1"/>
    <col min="7938" max="8175" width="7.53125" style="4"/>
    <col min="8176" max="8176" width="6.53125" style="4" customWidth="1"/>
    <col min="8177" max="8177" width="7.53125" style="4"/>
    <col min="8178" max="8178" width="7.46484375" style="4" customWidth="1"/>
    <col min="8179" max="8179" width="50.86328125" style="4" customWidth="1"/>
    <col min="8180" max="8180" width="12.86328125" style="4" customWidth="1"/>
    <col min="8181" max="8181" width="13" style="4" customWidth="1"/>
    <col min="8182" max="8182" width="14.46484375" style="4" customWidth="1"/>
    <col min="8183" max="8183" width="13.53125" style="4" customWidth="1"/>
    <col min="8184" max="8184" width="12.1328125" style="4" customWidth="1"/>
    <col min="8185" max="8185" width="11.86328125" style="4" customWidth="1"/>
    <col min="8186" max="8186" width="3.86328125" style="4" customWidth="1"/>
    <col min="8187" max="8187" width="11.86328125" style="4" customWidth="1"/>
    <col min="8188" max="8188" width="12.46484375" style="4" customWidth="1"/>
    <col min="8189" max="8189" width="12.1328125" style="4" customWidth="1"/>
    <col min="8190" max="8190" width="12.46484375" style="4" customWidth="1"/>
    <col min="8191" max="8191" width="11" style="4" customWidth="1"/>
    <col min="8192" max="8192" width="10.53125" style="4" customWidth="1"/>
    <col min="8193" max="8193" width="11.53125" style="4" customWidth="1"/>
    <col min="8194" max="8431" width="7.53125" style="4"/>
    <col min="8432" max="8432" width="6.53125" style="4" customWidth="1"/>
    <col min="8433" max="8433" width="7.53125" style="4"/>
    <col min="8434" max="8434" width="7.46484375" style="4" customWidth="1"/>
    <col min="8435" max="8435" width="50.86328125" style="4" customWidth="1"/>
    <col min="8436" max="8436" width="12.86328125" style="4" customWidth="1"/>
    <col min="8437" max="8437" width="13" style="4" customWidth="1"/>
    <col min="8438" max="8438" width="14.46484375" style="4" customWidth="1"/>
    <col min="8439" max="8439" width="13.53125" style="4" customWidth="1"/>
    <col min="8440" max="8440" width="12.1328125" style="4" customWidth="1"/>
    <col min="8441" max="8441" width="11.86328125" style="4" customWidth="1"/>
    <col min="8442" max="8442" width="3.86328125" style="4" customWidth="1"/>
    <col min="8443" max="8443" width="11.86328125" style="4" customWidth="1"/>
    <col min="8444" max="8444" width="12.46484375" style="4" customWidth="1"/>
    <col min="8445" max="8445" width="12.1328125" style="4" customWidth="1"/>
    <col min="8446" max="8446" width="12.46484375" style="4" customWidth="1"/>
    <col min="8447" max="8447" width="11" style="4" customWidth="1"/>
    <col min="8448" max="8448" width="10.53125" style="4" customWidth="1"/>
    <col min="8449" max="8449" width="11.53125" style="4" customWidth="1"/>
    <col min="8450" max="8687" width="7.53125" style="4"/>
    <col min="8688" max="8688" width="6.53125" style="4" customWidth="1"/>
    <col min="8689" max="8689" width="7.53125" style="4"/>
    <col min="8690" max="8690" width="7.46484375" style="4" customWidth="1"/>
    <col min="8691" max="8691" width="50.86328125" style="4" customWidth="1"/>
    <col min="8692" max="8692" width="12.86328125" style="4" customWidth="1"/>
    <col min="8693" max="8693" width="13" style="4" customWidth="1"/>
    <col min="8694" max="8694" width="14.46484375" style="4" customWidth="1"/>
    <col min="8695" max="8695" width="13.53125" style="4" customWidth="1"/>
    <col min="8696" max="8696" width="12.1328125" style="4" customWidth="1"/>
    <col min="8697" max="8697" width="11.86328125" style="4" customWidth="1"/>
    <col min="8698" max="8698" width="3.86328125" style="4" customWidth="1"/>
    <col min="8699" max="8699" width="11.86328125" style="4" customWidth="1"/>
    <col min="8700" max="8700" width="12.46484375" style="4" customWidth="1"/>
    <col min="8701" max="8701" width="12.1328125" style="4" customWidth="1"/>
    <col min="8702" max="8702" width="12.46484375" style="4" customWidth="1"/>
    <col min="8703" max="8703" width="11" style="4" customWidth="1"/>
    <col min="8704" max="8704" width="10.53125" style="4" customWidth="1"/>
    <col min="8705" max="8705" width="11.53125" style="4" customWidth="1"/>
    <col min="8706" max="8943" width="7.53125" style="4"/>
    <col min="8944" max="8944" width="6.53125" style="4" customWidth="1"/>
    <col min="8945" max="8945" width="7.53125" style="4"/>
    <col min="8946" max="8946" width="7.46484375" style="4" customWidth="1"/>
    <col min="8947" max="8947" width="50.86328125" style="4" customWidth="1"/>
    <col min="8948" max="8948" width="12.86328125" style="4" customWidth="1"/>
    <col min="8949" max="8949" width="13" style="4" customWidth="1"/>
    <col min="8950" max="8950" width="14.46484375" style="4" customWidth="1"/>
    <col min="8951" max="8951" width="13.53125" style="4" customWidth="1"/>
    <col min="8952" max="8952" width="12.1328125" style="4" customWidth="1"/>
    <col min="8953" max="8953" width="11.86328125" style="4" customWidth="1"/>
    <col min="8954" max="8954" width="3.86328125" style="4" customWidth="1"/>
    <col min="8955" max="8955" width="11.86328125" style="4" customWidth="1"/>
    <col min="8956" max="8956" width="12.46484375" style="4" customWidth="1"/>
    <col min="8957" max="8957" width="12.1328125" style="4" customWidth="1"/>
    <col min="8958" max="8958" width="12.46484375" style="4" customWidth="1"/>
    <col min="8959" max="8959" width="11" style="4" customWidth="1"/>
    <col min="8960" max="8960" width="10.53125" style="4" customWidth="1"/>
    <col min="8961" max="8961" width="11.53125" style="4" customWidth="1"/>
    <col min="8962" max="9199" width="7.53125" style="4"/>
    <col min="9200" max="9200" width="6.53125" style="4" customWidth="1"/>
    <col min="9201" max="9201" width="7.53125" style="4"/>
    <col min="9202" max="9202" width="7.46484375" style="4" customWidth="1"/>
    <col min="9203" max="9203" width="50.86328125" style="4" customWidth="1"/>
    <col min="9204" max="9204" width="12.86328125" style="4" customWidth="1"/>
    <col min="9205" max="9205" width="13" style="4" customWidth="1"/>
    <col min="9206" max="9206" width="14.46484375" style="4" customWidth="1"/>
    <col min="9207" max="9207" width="13.53125" style="4" customWidth="1"/>
    <col min="9208" max="9208" width="12.1328125" style="4" customWidth="1"/>
    <col min="9209" max="9209" width="11.86328125" style="4" customWidth="1"/>
    <col min="9210" max="9210" width="3.86328125" style="4" customWidth="1"/>
    <col min="9211" max="9211" width="11.86328125" style="4" customWidth="1"/>
    <col min="9212" max="9212" width="12.46484375" style="4" customWidth="1"/>
    <col min="9213" max="9213" width="12.1328125" style="4" customWidth="1"/>
    <col min="9214" max="9214" width="12.46484375" style="4" customWidth="1"/>
    <col min="9215" max="9215" width="11" style="4" customWidth="1"/>
    <col min="9216" max="9216" width="10.53125" style="4" customWidth="1"/>
    <col min="9217" max="9217" width="11.53125" style="4" customWidth="1"/>
    <col min="9218" max="9455" width="7.53125" style="4"/>
    <col min="9456" max="9456" width="6.53125" style="4" customWidth="1"/>
    <col min="9457" max="9457" width="7.53125" style="4"/>
    <col min="9458" max="9458" width="7.46484375" style="4" customWidth="1"/>
    <col min="9459" max="9459" width="50.86328125" style="4" customWidth="1"/>
    <col min="9460" max="9460" width="12.86328125" style="4" customWidth="1"/>
    <col min="9461" max="9461" width="13" style="4" customWidth="1"/>
    <col min="9462" max="9462" width="14.46484375" style="4" customWidth="1"/>
    <col min="9463" max="9463" width="13.53125" style="4" customWidth="1"/>
    <col min="9464" max="9464" width="12.1328125" style="4" customWidth="1"/>
    <col min="9465" max="9465" width="11.86328125" style="4" customWidth="1"/>
    <col min="9466" max="9466" width="3.86328125" style="4" customWidth="1"/>
    <col min="9467" max="9467" width="11.86328125" style="4" customWidth="1"/>
    <col min="9468" max="9468" width="12.46484375" style="4" customWidth="1"/>
    <col min="9469" max="9469" width="12.1328125" style="4" customWidth="1"/>
    <col min="9470" max="9470" width="12.46484375" style="4" customWidth="1"/>
    <col min="9471" max="9471" width="11" style="4" customWidth="1"/>
    <col min="9472" max="9472" width="10.53125" style="4" customWidth="1"/>
    <col min="9473" max="9473" width="11.53125" style="4" customWidth="1"/>
    <col min="9474" max="9711" width="7.53125" style="4"/>
    <col min="9712" max="9712" width="6.53125" style="4" customWidth="1"/>
    <col min="9713" max="9713" width="7.53125" style="4"/>
    <col min="9714" max="9714" width="7.46484375" style="4" customWidth="1"/>
    <col min="9715" max="9715" width="50.86328125" style="4" customWidth="1"/>
    <col min="9716" max="9716" width="12.86328125" style="4" customWidth="1"/>
    <col min="9717" max="9717" width="13" style="4" customWidth="1"/>
    <col min="9718" max="9718" width="14.46484375" style="4" customWidth="1"/>
    <col min="9719" max="9719" width="13.53125" style="4" customWidth="1"/>
    <col min="9720" max="9720" width="12.1328125" style="4" customWidth="1"/>
    <col min="9721" max="9721" width="11.86328125" style="4" customWidth="1"/>
    <col min="9722" max="9722" width="3.86328125" style="4" customWidth="1"/>
    <col min="9723" max="9723" width="11.86328125" style="4" customWidth="1"/>
    <col min="9724" max="9724" width="12.46484375" style="4" customWidth="1"/>
    <col min="9725" max="9725" width="12.1328125" style="4" customWidth="1"/>
    <col min="9726" max="9726" width="12.46484375" style="4" customWidth="1"/>
    <col min="9727" max="9727" width="11" style="4" customWidth="1"/>
    <col min="9728" max="9728" width="10.53125" style="4" customWidth="1"/>
    <col min="9729" max="9729" width="11.53125" style="4" customWidth="1"/>
    <col min="9730" max="9967" width="7.53125" style="4"/>
    <col min="9968" max="9968" width="6.53125" style="4" customWidth="1"/>
    <col min="9969" max="9969" width="7.53125" style="4"/>
    <col min="9970" max="9970" width="7.46484375" style="4" customWidth="1"/>
    <col min="9971" max="9971" width="50.86328125" style="4" customWidth="1"/>
    <col min="9972" max="9972" width="12.86328125" style="4" customWidth="1"/>
    <col min="9973" max="9973" width="13" style="4" customWidth="1"/>
    <col min="9974" max="9974" width="14.46484375" style="4" customWidth="1"/>
    <col min="9975" max="9975" width="13.53125" style="4" customWidth="1"/>
    <col min="9976" max="9976" width="12.1328125" style="4" customWidth="1"/>
    <col min="9977" max="9977" width="11.86328125" style="4" customWidth="1"/>
    <col min="9978" max="9978" width="3.86328125" style="4" customWidth="1"/>
    <col min="9979" max="9979" width="11.86328125" style="4" customWidth="1"/>
    <col min="9980" max="9980" width="12.46484375" style="4" customWidth="1"/>
    <col min="9981" max="9981" width="12.1328125" style="4" customWidth="1"/>
    <col min="9982" max="9982" width="12.46484375" style="4" customWidth="1"/>
    <col min="9983" max="9983" width="11" style="4" customWidth="1"/>
    <col min="9984" max="9984" width="10.53125" style="4" customWidth="1"/>
    <col min="9985" max="9985" width="11.53125" style="4" customWidth="1"/>
    <col min="9986" max="10223" width="7.53125" style="4"/>
    <col min="10224" max="10224" width="6.53125" style="4" customWidth="1"/>
    <col min="10225" max="10225" width="7.53125" style="4"/>
    <col min="10226" max="10226" width="7.46484375" style="4" customWidth="1"/>
    <col min="10227" max="10227" width="50.86328125" style="4" customWidth="1"/>
    <col min="10228" max="10228" width="12.86328125" style="4" customWidth="1"/>
    <col min="10229" max="10229" width="13" style="4" customWidth="1"/>
    <col min="10230" max="10230" width="14.46484375" style="4" customWidth="1"/>
    <col min="10231" max="10231" width="13.53125" style="4" customWidth="1"/>
    <col min="10232" max="10232" width="12.1328125" style="4" customWidth="1"/>
    <col min="10233" max="10233" width="11.86328125" style="4" customWidth="1"/>
    <col min="10234" max="10234" width="3.86328125" style="4" customWidth="1"/>
    <col min="10235" max="10235" width="11.86328125" style="4" customWidth="1"/>
    <col min="10236" max="10236" width="12.46484375" style="4" customWidth="1"/>
    <col min="10237" max="10237" width="12.1328125" style="4" customWidth="1"/>
    <col min="10238" max="10238" width="12.46484375" style="4" customWidth="1"/>
    <col min="10239" max="10239" width="11" style="4" customWidth="1"/>
    <col min="10240" max="10240" width="10.53125" style="4" customWidth="1"/>
    <col min="10241" max="10241" width="11.53125" style="4" customWidth="1"/>
    <col min="10242" max="10479" width="7.53125" style="4"/>
    <col min="10480" max="10480" width="6.53125" style="4" customWidth="1"/>
    <col min="10481" max="10481" width="7.53125" style="4"/>
    <col min="10482" max="10482" width="7.46484375" style="4" customWidth="1"/>
    <col min="10483" max="10483" width="50.86328125" style="4" customWidth="1"/>
    <col min="10484" max="10484" width="12.86328125" style="4" customWidth="1"/>
    <col min="10485" max="10485" width="13" style="4" customWidth="1"/>
    <col min="10486" max="10486" width="14.46484375" style="4" customWidth="1"/>
    <col min="10487" max="10487" width="13.53125" style="4" customWidth="1"/>
    <col min="10488" max="10488" width="12.1328125" style="4" customWidth="1"/>
    <col min="10489" max="10489" width="11.86328125" style="4" customWidth="1"/>
    <col min="10490" max="10490" width="3.86328125" style="4" customWidth="1"/>
    <col min="10491" max="10491" width="11.86328125" style="4" customWidth="1"/>
    <col min="10492" max="10492" width="12.46484375" style="4" customWidth="1"/>
    <col min="10493" max="10493" width="12.1328125" style="4" customWidth="1"/>
    <col min="10494" max="10494" width="12.46484375" style="4" customWidth="1"/>
    <col min="10495" max="10495" width="11" style="4" customWidth="1"/>
    <col min="10496" max="10496" width="10.53125" style="4" customWidth="1"/>
    <col min="10497" max="10497" width="11.53125" style="4" customWidth="1"/>
    <col min="10498" max="10735" width="7.53125" style="4"/>
    <col min="10736" max="10736" width="6.53125" style="4" customWidth="1"/>
    <col min="10737" max="10737" width="7.53125" style="4"/>
    <col min="10738" max="10738" width="7.46484375" style="4" customWidth="1"/>
    <col min="10739" max="10739" width="50.86328125" style="4" customWidth="1"/>
    <col min="10740" max="10740" width="12.86328125" style="4" customWidth="1"/>
    <col min="10741" max="10741" width="13" style="4" customWidth="1"/>
    <col min="10742" max="10742" width="14.46484375" style="4" customWidth="1"/>
    <col min="10743" max="10743" width="13.53125" style="4" customWidth="1"/>
    <col min="10744" max="10744" width="12.1328125" style="4" customWidth="1"/>
    <col min="10745" max="10745" width="11.86328125" style="4" customWidth="1"/>
    <col min="10746" max="10746" width="3.86328125" style="4" customWidth="1"/>
    <col min="10747" max="10747" width="11.86328125" style="4" customWidth="1"/>
    <col min="10748" max="10748" width="12.46484375" style="4" customWidth="1"/>
    <col min="10749" max="10749" width="12.1328125" style="4" customWidth="1"/>
    <col min="10750" max="10750" width="12.46484375" style="4" customWidth="1"/>
    <col min="10751" max="10751" width="11" style="4" customWidth="1"/>
    <col min="10752" max="10752" width="10.53125" style="4" customWidth="1"/>
    <col min="10753" max="10753" width="11.53125" style="4" customWidth="1"/>
    <col min="10754" max="10991" width="7.53125" style="4"/>
    <col min="10992" max="10992" width="6.53125" style="4" customWidth="1"/>
    <col min="10993" max="10993" width="7.53125" style="4"/>
    <col min="10994" max="10994" width="7.46484375" style="4" customWidth="1"/>
    <col min="10995" max="10995" width="50.86328125" style="4" customWidth="1"/>
    <col min="10996" max="10996" width="12.86328125" style="4" customWidth="1"/>
    <col min="10997" max="10997" width="13" style="4" customWidth="1"/>
    <col min="10998" max="10998" width="14.46484375" style="4" customWidth="1"/>
    <col min="10999" max="10999" width="13.53125" style="4" customWidth="1"/>
    <col min="11000" max="11000" width="12.1328125" style="4" customWidth="1"/>
    <col min="11001" max="11001" width="11.86328125" style="4" customWidth="1"/>
    <col min="11002" max="11002" width="3.86328125" style="4" customWidth="1"/>
    <col min="11003" max="11003" width="11.86328125" style="4" customWidth="1"/>
    <col min="11004" max="11004" width="12.46484375" style="4" customWidth="1"/>
    <col min="11005" max="11005" width="12.1328125" style="4" customWidth="1"/>
    <col min="11006" max="11006" width="12.46484375" style="4" customWidth="1"/>
    <col min="11007" max="11007" width="11" style="4" customWidth="1"/>
    <col min="11008" max="11008" width="10.53125" style="4" customWidth="1"/>
    <col min="11009" max="11009" width="11.53125" style="4" customWidth="1"/>
    <col min="11010" max="11247" width="7.53125" style="4"/>
    <col min="11248" max="11248" width="6.53125" style="4" customWidth="1"/>
    <col min="11249" max="11249" width="7.53125" style="4"/>
    <col min="11250" max="11250" width="7.46484375" style="4" customWidth="1"/>
    <col min="11251" max="11251" width="50.86328125" style="4" customWidth="1"/>
    <col min="11252" max="11252" width="12.86328125" style="4" customWidth="1"/>
    <col min="11253" max="11253" width="13" style="4" customWidth="1"/>
    <col min="11254" max="11254" width="14.46484375" style="4" customWidth="1"/>
    <col min="11255" max="11255" width="13.53125" style="4" customWidth="1"/>
    <col min="11256" max="11256" width="12.1328125" style="4" customWidth="1"/>
    <col min="11257" max="11257" width="11.86328125" style="4" customWidth="1"/>
    <col min="11258" max="11258" width="3.86328125" style="4" customWidth="1"/>
    <col min="11259" max="11259" width="11.86328125" style="4" customWidth="1"/>
    <col min="11260" max="11260" width="12.46484375" style="4" customWidth="1"/>
    <col min="11261" max="11261" width="12.1328125" style="4" customWidth="1"/>
    <col min="11262" max="11262" width="12.46484375" style="4" customWidth="1"/>
    <col min="11263" max="11263" width="11" style="4" customWidth="1"/>
    <col min="11264" max="11264" width="10.53125" style="4" customWidth="1"/>
    <col min="11265" max="11265" width="11.53125" style="4" customWidth="1"/>
    <col min="11266" max="11503" width="7.53125" style="4"/>
    <col min="11504" max="11504" width="6.53125" style="4" customWidth="1"/>
    <col min="11505" max="11505" width="7.53125" style="4"/>
    <col min="11506" max="11506" width="7.46484375" style="4" customWidth="1"/>
    <col min="11507" max="11507" width="50.86328125" style="4" customWidth="1"/>
    <col min="11508" max="11508" width="12.86328125" style="4" customWidth="1"/>
    <col min="11509" max="11509" width="13" style="4" customWidth="1"/>
    <col min="11510" max="11510" width="14.46484375" style="4" customWidth="1"/>
    <col min="11511" max="11511" width="13.53125" style="4" customWidth="1"/>
    <col min="11512" max="11512" width="12.1328125" style="4" customWidth="1"/>
    <col min="11513" max="11513" width="11.86328125" style="4" customWidth="1"/>
    <col min="11514" max="11514" width="3.86328125" style="4" customWidth="1"/>
    <col min="11515" max="11515" width="11.86328125" style="4" customWidth="1"/>
    <col min="11516" max="11516" width="12.46484375" style="4" customWidth="1"/>
    <col min="11517" max="11517" width="12.1328125" style="4" customWidth="1"/>
    <col min="11518" max="11518" width="12.46484375" style="4" customWidth="1"/>
    <col min="11519" max="11519" width="11" style="4" customWidth="1"/>
    <col min="11520" max="11520" width="10.53125" style="4" customWidth="1"/>
    <col min="11521" max="11521" width="11.53125" style="4" customWidth="1"/>
    <col min="11522" max="11759" width="7.53125" style="4"/>
    <col min="11760" max="11760" width="6.53125" style="4" customWidth="1"/>
    <col min="11761" max="11761" width="7.53125" style="4"/>
    <col min="11762" max="11762" width="7.46484375" style="4" customWidth="1"/>
    <col min="11763" max="11763" width="50.86328125" style="4" customWidth="1"/>
    <col min="11764" max="11764" width="12.86328125" style="4" customWidth="1"/>
    <col min="11765" max="11765" width="13" style="4" customWidth="1"/>
    <col min="11766" max="11766" width="14.46484375" style="4" customWidth="1"/>
    <col min="11767" max="11767" width="13.53125" style="4" customWidth="1"/>
    <col min="11768" max="11768" width="12.1328125" style="4" customWidth="1"/>
    <col min="11769" max="11769" width="11.86328125" style="4" customWidth="1"/>
    <col min="11770" max="11770" width="3.86328125" style="4" customWidth="1"/>
    <col min="11771" max="11771" width="11.86328125" style="4" customWidth="1"/>
    <col min="11772" max="11772" width="12.46484375" style="4" customWidth="1"/>
    <col min="11773" max="11773" width="12.1328125" style="4" customWidth="1"/>
    <col min="11774" max="11774" width="12.46484375" style="4" customWidth="1"/>
    <col min="11775" max="11775" width="11" style="4" customWidth="1"/>
    <col min="11776" max="11776" width="10.53125" style="4" customWidth="1"/>
    <col min="11777" max="11777" width="11.53125" style="4" customWidth="1"/>
    <col min="11778" max="12015" width="7.53125" style="4"/>
    <col min="12016" max="12016" width="6.53125" style="4" customWidth="1"/>
    <col min="12017" max="12017" width="7.53125" style="4"/>
    <col min="12018" max="12018" width="7.46484375" style="4" customWidth="1"/>
    <col min="12019" max="12019" width="50.86328125" style="4" customWidth="1"/>
    <col min="12020" max="12020" width="12.86328125" style="4" customWidth="1"/>
    <col min="12021" max="12021" width="13" style="4" customWidth="1"/>
    <col min="12022" max="12022" width="14.46484375" style="4" customWidth="1"/>
    <col min="12023" max="12023" width="13.53125" style="4" customWidth="1"/>
    <col min="12024" max="12024" width="12.1328125" style="4" customWidth="1"/>
    <col min="12025" max="12025" width="11.86328125" style="4" customWidth="1"/>
    <col min="12026" max="12026" width="3.86328125" style="4" customWidth="1"/>
    <col min="12027" max="12027" width="11.86328125" style="4" customWidth="1"/>
    <col min="12028" max="12028" width="12.46484375" style="4" customWidth="1"/>
    <col min="12029" max="12029" width="12.1328125" style="4" customWidth="1"/>
    <col min="12030" max="12030" width="12.46484375" style="4" customWidth="1"/>
    <col min="12031" max="12031" width="11" style="4" customWidth="1"/>
    <col min="12032" max="12032" width="10.53125" style="4" customWidth="1"/>
    <col min="12033" max="12033" width="11.53125" style="4" customWidth="1"/>
    <col min="12034" max="12271" width="7.53125" style="4"/>
    <col min="12272" max="12272" width="6.53125" style="4" customWidth="1"/>
    <col min="12273" max="12273" width="7.53125" style="4"/>
    <col min="12274" max="12274" width="7.46484375" style="4" customWidth="1"/>
    <col min="12275" max="12275" width="50.86328125" style="4" customWidth="1"/>
    <col min="12276" max="12276" width="12.86328125" style="4" customWidth="1"/>
    <col min="12277" max="12277" width="13" style="4" customWidth="1"/>
    <col min="12278" max="12278" width="14.46484375" style="4" customWidth="1"/>
    <col min="12279" max="12279" width="13.53125" style="4" customWidth="1"/>
    <col min="12280" max="12280" width="12.1328125" style="4" customWidth="1"/>
    <col min="12281" max="12281" width="11.86328125" style="4" customWidth="1"/>
    <col min="12282" max="12282" width="3.86328125" style="4" customWidth="1"/>
    <col min="12283" max="12283" width="11.86328125" style="4" customWidth="1"/>
    <col min="12284" max="12284" width="12.46484375" style="4" customWidth="1"/>
    <col min="12285" max="12285" width="12.1328125" style="4" customWidth="1"/>
    <col min="12286" max="12286" width="12.46484375" style="4" customWidth="1"/>
    <col min="12287" max="12287" width="11" style="4" customWidth="1"/>
    <col min="12288" max="12288" width="10.53125" style="4" customWidth="1"/>
    <col min="12289" max="12289" width="11.53125" style="4" customWidth="1"/>
    <col min="12290" max="12527" width="7.53125" style="4"/>
    <col min="12528" max="12528" width="6.53125" style="4" customWidth="1"/>
    <col min="12529" max="12529" width="7.53125" style="4"/>
    <col min="12530" max="12530" width="7.46484375" style="4" customWidth="1"/>
    <col min="12531" max="12531" width="50.86328125" style="4" customWidth="1"/>
    <col min="12532" max="12532" width="12.86328125" style="4" customWidth="1"/>
    <col min="12533" max="12533" width="13" style="4" customWidth="1"/>
    <col min="12534" max="12534" width="14.46484375" style="4" customWidth="1"/>
    <col min="12535" max="12535" width="13.53125" style="4" customWidth="1"/>
    <col min="12536" max="12536" width="12.1328125" style="4" customWidth="1"/>
    <col min="12537" max="12537" width="11.86328125" style="4" customWidth="1"/>
    <col min="12538" max="12538" width="3.86328125" style="4" customWidth="1"/>
    <col min="12539" max="12539" width="11.86328125" style="4" customWidth="1"/>
    <col min="12540" max="12540" width="12.46484375" style="4" customWidth="1"/>
    <col min="12541" max="12541" width="12.1328125" style="4" customWidth="1"/>
    <col min="12542" max="12542" width="12.46484375" style="4" customWidth="1"/>
    <col min="12543" max="12543" width="11" style="4" customWidth="1"/>
    <col min="12544" max="12544" width="10.53125" style="4" customWidth="1"/>
    <col min="12545" max="12545" width="11.53125" style="4" customWidth="1"/>
    <col min="12546" max="12783" width="7.53125" style="4"/>
    <col min="12784" max="12784" width="6.53125" style="4" customWidth="1"/>
    <col min="12785" max="12785" width="7.53125" style="4"/>
    <col min="12786" max="12786" width="7.46484375" style="4" customWidth="1"/>
    <col min="12787" max="12787" width="50.86328125" style="4" customWidth="1"/>
    <col min="12788" max="12788" width="12.86328125" style="4" customWidth="1"/>
    <col min="12789" max="12789" width="13" style="4" customWidth="1"/>
    <col min="12790" max="12790" width="14.46484375" style="4" customWidth="1"/>
    <col min="12791" max="12791" width="13.53125" style="4" customWidth="1"/>
    <col min="12792" max="12792" width="12.1328125" style="4" customWidth="1"/>
    <col min="12793" max="12793" width="11.86328125" style="4" customWidth="1"/>
    <col min="12794" max="12794" width="3.86328125" style="4" customWidth="1"/>
    <col min="12795" max="12795" width="11.86328125" style="4" customWidth="1"/>
    <col min="12796" max="12796" width="12.46484375" style="4" customWidth="1"/>
    <col min="12797" max="12797" width="12.1328125" style="4" customWidth="1"/>
    <col min="12798" max="12798" width="12.46484375" style="4" customWidth="1"/>
    <col min="12799" max="12799" width="11" style="4" customWidth="1"/>
    <col min="12800" max="12800" width="10.53125" style="4" customWidth="1"/>
    <col min="12801" max="12801" width="11.53125" style="4" customWidth="1"/>
    <col min="12802" max="13039" width="7.53125" style="4"/>
    <col min="13040" max="13040" width="6.53125" style="4" customWidth="1"/>
    <col min="13041" max="13041" width="7.53125" style="4"/>
    <col min="13042" max="13042" width="7.46484375" style="4" customWidth="1"/>
    <col min="13043" max="13043" width="50.86328125" style="4" customWidth="1"/>
    <col min="13044" max="13044" width="12.86328125" style="4" customWidth="1"/>
    <col min="13045" max="13045" width="13" style="4" customWidth="1"/>
    <col min="13046" max="13046" width="14.46484375" style="4" customWidth="1"/>
    <col min="13047" max="13047" width="13.53125" style="4" customWidth="1"/>
    <col min="13048" max="13048" width="12.1328125" style="4" customWidth="1"/>
    <col min="13049" max="13049" width="11.86328125" style="4" customWidth="1"/>
    <col min="13050" max="13050" width="3.86328125" style="4" customWidth="1"/>
    <col min="13051" max="13051" width="11.86328125" style="4" customWidth="1"/>
    <col min="13052" max="13052" width="12.46484375" style="4" customWidth="1"/>
    <col min="13053" max="13053" width="12.1328125" style="4" customWidth="1"/>
    <col min="13054" max="13054" width="12.46484375" style="4" customWidth="1"/>
    <col min="13055" max="13055" width="11" style="4" customWidth="1"/>
    <col min="13056" max="13056" width="10.53125" style="4" customWidth="1"/>
    <col min="13057" max="13057" width="11.53125" style="4" customWidth="1"/>
    <col min="13058" max="13295" width="7.53125" style="4"/>
    <col min="13296" max="13296" width="6.53125" style="4" customWidth="1"/>
    <col min="13297" max="13297" width="7.53125" style="4"/>
    <col min="13298" max="13298" width="7.46484375" style="4" customWidth="1"/>
    <col min="13299" max="13299" width="50.86328125" style="4" customWidth="1"/>
    <col min="13300" max="13300" width="12.86328125" style="4" customWidth="1"/>
    <col min="13301" max="13301" width="13" style="4" customWidth="1"/>
    <col min="13302" max="13302" width="14.46484375" style="4" customWidth="1"/>
    <col min="13303" max="13303" width="13.53125" style="4" customWidth="1"/>
    <col min="13304" max="13304" width="12.1328125" style="4" customWidth="1"/>
    <col min="13305" max="13305" width="11.86328125" style="4" customWidth="1"/>
    <col min="13306" max="13306" width="3.86328125" style="4" customWidth="1"/>
    <col min="13307" max="13307" width="11.86328125" style="4" customWidth="1"/>
    <col min="13308" max="13308" width="12.46484375" style="4" customWidth="1"/>
    <col min="13309" max="13309" width="12.1328125" style="4" customWidth="1"/>
    <col min="13310" max="13310" width="12.46484375" style="4" customWidth="1"/>
    <col min="13311" max="13311" width="11" style="4" customWidth="1"/>
    <col min="13312" max="13312" width="10.53125" style="4" customWidth="1"/>
    <col min="13313" max="13313" width="11.53125" style="4" customWidth="1"/>
    <col min="13314" max="13551" width="7.53125" style="4"/>
    <col min="13552" max="13552" width="6.53125" style="4" customWidth="1"/>
    <col min="13553" max="13553" width="7.53125" style="4"/>
    <col min="13554" max="13554" width="7.46484375" style="4" customWidth="1"/>
    <col min="13555" max="13555" width="50.86328125" style="4" customWidth="1"/>
    <col min="13556" max="13556" width="12.86328125" style="4" customWidth="1"/>
    <col min="13557" max="13557" width="13" style="4" customWidth="1"/>
    <col min="13558" max="13558" width="14.46484375" style="4" customWidth="1"/>
    <col min="13559" max="13559" width="13.53125" style="4" customWidth="1"/>
    <col min="13560" max="13560" width="12.1328125" style="4" customWidth="1"/>
    <col min="13561" max="13561" width="11.86328125" style="4" customWidth="1"/>
    <col min="13562" max="13562" width="3.86328125" style="4" customWidth="1"/>
    <col min="13563" max="13563" width="11.86328125" style="4" customWidth="1"/>
    <col min="13564" max="13564" width="12.46484375" style="4" customWidth="1"/>
    <col min="13565" max="13565" width="12.1328125" style="4" customWidth="1"/>
    <col min="13566" max="13566" width="12.46484375" style="4" customWidth="1"/>
    <col min="13567" max="13567" width="11" style="4" customWidth="1"/>
    <col min="13568" max="13568" width="10.53125" style="4" customWidth="1"/>
    <col min="13569" max="13569" width="11.53125" style="4" customWidth="1"/>
    <col min="13570" max="13807" width="7.53125" style="4"/>
    <col min="13808" max="13808" width="6.53125" style="4" customWidth="1"/>
    <col min="13809" max="13809" width="7.53125" style="4"/>
    <col min="13810" max="13810" width="7.46484375" style="4" customWidth="1"/>
    <col min="13811" max="13811" width="50.86328125" style="4" customWidth="1"/>
    <col min="13812" max="13812" width="12.86328125" style="4" customWidth="1"/>
    <col min="13813" max="13813" width="13" style="4" customWidth="1"/>
    <col min="13814" max="13814" width="14.46484375" style="4" customWidth="1"/>
    <col min="13815" max="13815" width="13.53125" style="4" customWidth="1"/>
    <col min="13816" max="13816" width="12.1328125" style="4" customWidth="1"/>
    <col min="13817" max="13817" width="11.86328125" style="4" customWidth="1"/>
    <col min="13818" max="13818" width="3.86328125" style="4" customWidth="1"/>
    <col min="13819" max="13819" width="11.86328125" style="4" customWidth="1"/>
    <col min="13820" max="13820" width="12.46484375" style="4" customWidth="1"/>
    <col min="13821" max="13821" width="12.1328125" style="4" customWidth="1"/>
    <col min="13822" max="13822" width="12.46484375" style="4" customWidth="1"/>
    <col min="13823" max="13823" width="11" style="4" customWidth="1"/>
    <col min="13824" max="13824" width="10.53125" style="4" customWidth="1"/>
    <col min="13825" max="13825" width="11.53125" style="4" customWidth="1"/>
    <col min="13826" max="14063" width="7.53125" style="4"/>
    <col min="14064" max="14064" width="6.53125" style="4" customWidth="1"/>
    <col min="14065" max="14065" width="7.53125" style="4"/>
    <col min="14066" max="14066" width="7.46484375" style="4" customWidth="1"/>
    <col min="14067" max="14067" width="50.86328125" style="4" customWidth="1"/>
    <col min="14068" max="14068" width="12.86328125" style="4" customWidth="1"/>
    <col min="14069" max="14069" width="13" style="4" customWidth="1"/>
    <col min="14070" max="14070" width="14.46484375" style="4" customWidth="1"/>
    <col min="14071" max="14071" width="13.53125" style="4" customWidth="1"/>
    <col min="14072" max="14072" width="12.1328125" style="4" customWidth="1"/>
    <col min="14073" max="14073" width="11.86328125" style="4" customWidth="1"/>
    <col min="14074" max="14074" width="3.86328125" style="4" customWidth="1"/>
    <col min="14075" max="14075" width="11.86328125" style="4" customWidth="1"/>
    <col min="14076" max="14076" width="12.46484375" style="4" customWidth="1"/>
    <col min="14077" max="14077" width="12.1328125" style="4" customWidth="1"/>
    <col min="14078" max="14078" width="12.46484375" style="4" customWidth="1"/>
    <col min="14079" max="14079" width="11" style="4" customWidth="1"/>
    <col min="14080" max="14080" width="10.53125" style="4" customWidth="1"/>
    <col min="14081" max="14081" width="11.53125" style="4" customWidth="1"/>
    <col min="14082" max="14319" width="7.53125" style="4"/>
    <col min="14320" max="14320" width="6.53125" style="4" customWidth="1"/>
    <col min="14321" max="14321" width="7.53125" style="4"/>
    <col min="14322" max="14322" width="7.46484375" style="4" customWidth="1"/>
    <col min="14323" max="14323" width="50.86328125" style="4" customWidth="1"/>
    <col min="14324" max="14324" width="12.86328125" style="4" customWidth="1"/>
    <col min="14325" max="14325" width="13" style="4" customWidth="1"/>
    <col min="14326" max="14326" width="14.46484375" style="4" customWidth="1"/>
    <col min="14327" max="14327" width="13.53125" style="4" customWidth="1"/>
    <col min="14328" max="14328" width="12.1328125" style="4" customWidth="1"/>
    <col min="14329" max="14329" width="11.86328125" style="4" customWidth="1"/>
    <col min="14330" max="14330" width="3.86328125" style="4" customWidth="1"/>
    <col min="14331" max="14331" width="11.86328125" style="4" customWidth="1"/>
    <col min="14332" max="14332" width="12.46484375" style="4" customWidth="1"/>
    <col min="14333" max="14333" width="12.1328125" style="4" customWidth="1"/>
    <col min="14334" max="14334" width="12.46484375" style="4" customWidth="1"/>
    <col min="14335" max="14335" width="11" style="4" customWidth="1"/>
    <col min="14336" max="14336" width="10.53125" style="4" customWidth="1"/>
    <col min="14337" max="14337" width="11.53125" style="4" customWidth="1"/>
    <col min="14338" max="14575" width="7.53125" style="4"/>
    <col min="14576" max="14576" width="6.53125" style="4" customWidth="1"/>
    <col min="14577" max="14577" width="7.53125" style="4"/>
    <col min="14578" max="14578" width="7.46484375" style="4" customWidth="1"/>
    <col min="14579" max="14579" width="50.86328125" style="4" customWidth="1"/>
    <col min="14580" max="14580" width="12.86328125" style="4" customWidth="1"/>
    <col min="14581" max="14581" width="13" style="4" customWidth="1"/>
    <col min="14582" max="14582" width="14.46484375" style="4" customWidth="1"/>
    <col min="14583" max="14583" width="13.53125" style="4" customWidth="1"/>
    <col min="14584" max="14584" width="12.1328125" style="4" customWidth="1"/>
    <col min="14585" max="14585" width="11.86328125" style="4" customWidth="1"/>
    <col min="14586" max="14586" width="3.86328125" style="4" customWidth="1"/>
    <col min="14587" max="14587" width="11.86328125" style="4" customWidth="1"/>
    <col min="14588" max="14588" width="12.46484375" style="4" customWidth="1"/>
    <col min="14589" max="14589" width="12.1328125" style="4" customWidth="1"/>
    <col min="14590" max="14590" width="12.46484375" style="4" customWidth="1"/>
    <col min="14591" max="14591" width="11" style="4" customWidth="1"/>
    <col min="14592" max="14592" width="10.53125" style="4" customWidth="1"/>
    <col min="14593" max="14593" width="11.53125" style="4" customWidth="1"/>
    <col min="14594" max="14831" width="7.53125" style="4"/>
    <col min="14832" max="14832" width="6.53125" style="4" customWidth="1"/>
    <col min="14833" max="14833" width="7.53125" style="4"/>
    <col min="14834" max="14834" width="7.46484375" style="4" customWidth="1"/>
    <col min="14835" max="14835" width="50.86328125" style="4" customWidth="1"/>
    <col min="14836" max="14836" width="12.86328125" style="4" customWidth="1"/>
    <col min="14837" max="14837" width="13" style="4" customWidth="1"/>
    <col min="14838" max="14838" width="14.46484375" style="4" customWidth="1"/>
    <col min="14839" max="14839" width="13.53125" style="4" customWidth="1"/>
    <col min="14840" max="14840" width="12.1328125" style="4" customWidth="1"/>
    <col min="14841" max="14841" width="11.86328125" style="4" customWidth="1"/>
    <col min="14842" max="14842" width="3.86328125" style="4" customWidth="1"/>
    <col min="14843" max="14843" width="11.86328125" style="4" customWidth="1"/>
    <col min="14844" max="14844" width="12.46484375" style="4" customWidth="1"/>
    <col min="14845" max="14845" width="12.1328125" style="4" customWidth="1"/>
    <col min="14846" max="14846" width="12.46484375" style="4" customWidth="1"/>
    <col min="14847" max="14847" width="11" style="4" customWidth="1"/>
    <col min="14848" max="14848" width="10.53125" style="4" customWidth="1"/>
    <col min="14849" max="14849" width="11.53125" style="4" customWidth="1"/>
    <col min="14850" max="15087" width="7.53125" style="4"/>
    <col min="15088" max="15088" width="6.53125" style="4" customWidth="1"/>
    <col min="15089" max="15089" width="7.53125" style="4"/>
    <col min="15090" max="15090" width="7.46484375" style="4" customWidth="1"/>
    <col min="15091" max="15091" width="50.86328125" style="4" customWidth="1"/>
    <col min="15092" max="15092" width="12.86328125" style="4" customWidth="1"/>
    <col min="15093" max="15093" width="13" style="4" customWidth="1"/>
    <col min="15094" max="15094" width="14.46484375" style="4" customWidth="1"/>
    <col min="15095" max="15095" width="13.53125" style="4" customWidth="1"/>
    <col min="15096" max="15096" width="12.1328125" style="4" customWidth="1"/>
    <col min="15097" max="15097" width="11.86328125" style="4" customWidth="1"/>
    <col min="15098" max="15098" width="3.86328125" style="4" customWidth="1"/>
    <col min="15099" max="15099" width="11.86328125" style="4" customWidth="1"/>
    <col min="15100" max="15100" width="12.46484375" style="4" customWidth="1"/>
    <col min="15101" max="15101" width="12.1328125" style="4" customWidth="1"/>
    <col min="15102" max="15102" width="12.46484375" style="4" customWidth="1"/>
    <col min="15103" max="15103" width="11" style="4" customWidth="1"/>
    <col min="15104" max="15104" width="10.53125" style="4" customWidth="1"/>
    <col min="15105" max="15105" width="11.53125" style="4" customWidth="1"/>
    <col min="15106" max="15343" width="7.53125" style="4"/>
    <col min="15344" max="15344" width="6.53125" style="4" customWidth="1"/>
    <col min="15345" max="15345" width="7.53125" style="4"/>
    <col min="15346" max="15346" width="7.46484375" style="4" customWidth="1"/>
    <col min="15347" max="15347" width="50.86328125" style="4" customWidth="1"/>
    <col min="15348" max="15348" width="12.86328125" style="4" customWidth="1"/>
    <col min="15349" max="15349" width="13" style="4" customWidth="1"/>
    <col min="15350" max="15350" width="14.46484375" style="4" customWidth="1"/>
    <col min="15351" max="15351" width="13.53125" style="4" customWidth="1"/>
    <col min="15352" max="15352" width="12.1328125" style="4" customWidth="1"/>
    <col min="15353" max="15353" width="11.86328125" style="4" customWidth="1"/>
    <col min="15354" max="15354" width="3.86328125" style="4" customWidth="1"/>
    <col min="15355" max="15355" width="11.86328125" style="4" customWidth="1"/>
    <col min="15356" max="15356" width="12.46484375" style="4" customWidth="1"/>
    <col min="15357" max="15357" width="12.1328125" style="4" customWidth="1"/>
    <col min="15358" max="15358" width="12.46484375" style="4" customWidth="1"/>
    <col min="15359" max="15359" width="11" style="4" customWidth="1"/>
    <col min="15360" max="15360" width="10.53125" style="4" customWidth="1"/>
    <col min="15361" max="15361" width="11.53125" style="4" customWidth="1"/>
    <col min="15362" max="15599" width="7.53125" style="4"/>
    <col min="15600" max="15600" width="6.53125" style="4" customWidth="1"/>
    <col min="15601" max="15601" width="7.53125" style="4"/>
    <col min="15602" max="15602" width="7.46484375" style="4" customWidth="1"/>
    <col min="15603" max="15603" width="50.86328125" style="4" customWidth="1"/>
    <col min="15604" max="15604" width="12.86328125" style="4" customWidth="1"/>
    <col min="15605" max="15605" width="13" style="4" customWidth="1"/>
    <col min="15606" max="15606" width="14.46484375" style="4" customWidth="1"/>
    <col min="15607" max="15607" width="13.53125" style="4" customWidth="1"/>
    <col min="15608" max="15608" width="12.1328125" style="4" customWidth="1"/>
    <col min="15609" max="15609" width="11.86328125" style="4" customWidth="1"/>
    <col min="15610" max="15610" width="3.86328125" style="4" customWidth="1"/>
    <col min="15611" max="15611" width="11.86328125" style="4" customWidth="1"/>
    <col min="15612" max="15612" width="12.46484375" style="4" customWidth="1"/>
    <col min="15613" max="15613" width="12.1328125" style="4" customWidth="1"/>
    <col min="15614" max="15614" width="12.46484375" style="4" customWidth="1"/>
    <col min="15615" max="15615" width="11" style="4" customWidth="1"/>
    <col min="15616" max="15616" width="10.53125" style="4" customWidth="1"/>
    <col min="15617" max="15617" width="11.53125" style="4" customWidth="1"/>
    <col min="15618" max="15855" width="7.53125" style="4"/>
    <col min="15856" max="15856" width="6.53125" style="4" customWidth="1"/>
    <col min="15857" max="15857" width="7.53125" style="4"/>
    <col min="15858" max="15858" width="7.46484375" style="4" customWidth="1"/>
    <col min="15859" max="15859" width="50.86328125" style="4" customWidth="1"/>
    <col min="15860" max="15860" width="12.86328125" style="4" customWidth="1"/>
    <col min="15861" max="15861" width="13" style="4" customWidth="1"/>
    <col min="15862" max="15862" width="14.46484375" style="4" customWidth="1"/>
    <col min="15863" max="15863" width="13.53125" style="4" customWidth="1"/>
    <col min="15864" max="15864" width="12.1328125" style="4" customWidth="1"/>
    <col min="15865" max="15865" width="11.86328125" style="4" customWidth="1"/>
    <col min="15866" max="15866" width="3.86328125" style="4" customWidth="1"/>
    <col min="15867" max="15867" width="11.86328125" style="4" customWidth="1"/>
    <col min="15868" max="15868" width="12.46484375" style="4" customWidth="1"/>
    <col min="15869" max="15869" width="12.1328125" style="4" customWidth="1"/>
    <col min="15870" max="15870" width="12.46484375" style="4" customWidth="1"/>
    <col min="15871" max="15871" width="11" style="4" customWidth="1"/>
    <col min="15872" max="15872" width="10.53125" style="4" customWidth="1"/>
    <col min="15873" max="15873" width="11.53125" style="4" customWidth="1"/>
    <col min="15874" max="16111" width="7.53125" style="4"/>
    <col min="16112" max="16112" width="6.53125" style="4" customWidth="1"/>
    <col min="16113" max="16113" width="7.53125" style="4"/>
    <col min="16114" max="16114" width="7.46484375" style="4" customWidth="1"/>
    <col min="16115" max="16115" width="50.86328125" style="4" customWidth="1"/>
    <col min="16116" max="16116" width="12.86328125" style="4" customWidth="1"/>
    <col min="16117" max="16117" width="13" style="4" customWidth="1"/>
    <col min="16118" max="16118" width="14.46484375" style="4" customWidth="1"/>
    <col min="16119" max="16119" width="13.53125" style="4" customWidth="1"/>
    <col min="16120" max="16120" width="12.1328125" style="4" customWidth="1"/>
    <col min="16121" max="16121" width="11.86328125" style="4" customWidth="1"/>
    <col min="16122" max="16122" width="3.86328125" style="4" customWidth="1"/>
    <col min="16123" max="16123" width="11.86328125" style="4" customWidth="1"/>
    <col min="16124" max="16124" width="12.46484375" style="4" customWidth="1"/>
    <col min="16125" max="16125" width="12.1328125" style="4" customWidth="1"/>
    <col min="16126" max="16126" width="12.46484375" style="4" customWidth="1"/>
    <col min="16127" max="16127" width="11" style="4" customWidth="1"/>
    <col min="16128" max="16128" width="10.53125" style="4" customWidth="1"/>
    <col min="16129" max="16129" width="11.53125" style="4" customWidth="1"/>
    <col min="16130" max="16384" width="7.53125" style="4"/>
  </cols>
  <sheetData>
    <row r="1" spans="1:11" ht="15.6" customHeight="1">
      <c r="F1" s="46"/>
      <c r="G1" s="46" t="s">
        <v>12</v>
      </c>
      <c r="H1" s="171"/>
      <c r="J1" s="45"/>
      <c r="K1" s="45"/>
    </row>
    <row r="2" spans="1:11">
      <c r="F2" s="46"/>
      <c r="G2" s="522" t="s">
        <v>13</v>
      </c>
      <c r="H2" s="523"/>
      <c r="I2" s="523"/>
      <c r="J2" s="523"/>
      <c r="K2" s="523"/>
    </row>
    <row r="3" spans="1:11">
      <c r="F3" s="46"/>
      <c r="G3" s="522" t="s">
        <v>14</v>
      </c>
      <c r="H3" s="523"/>
      <c r="I3" s="523"/>
      <c r="J3" s="523"/>
      <c r="K3" s="523"/>
    </row>
    <row r="4" spans="1:11">
      <c r="F4" s="46"/>
      <c r="G4" s="172"/>
      <c r="H4" s="173"/>
      <c r="I4" s="173"/>
      <c r="J4" s="173"/>
      <c r="K4" s="173"/>
    </row>
    <row r="5" spans="1:11">
      <c r="A5" s="525" t="s">
        <v>0</v>
      </c>
      <c r="B5" s="525"/>
      <c r="C5" s="525"/>
      <c r="D5" s="525"/>
      <c r="E5" s="525"/>
      <c r="F5" s="525"/>
      <c r="G5" s="525"/>
      <c r="H5" s="525"/>
      <c r="I5" s="525"/>
      <c r="J5" s="525"/>
    </row>
    <row r="6" spans="1:11">
      <c r="F6" s="46"/>
      <c r="G6" s="46"/>
      <c r="H6" s="46"/>
      <c r="I6" s="45"/>
      <c r="J6" s="45"/>
    </row>
    <row r="7" spans="1:11">
      <c r="A7" s="524" t="s">
        <v>15</v>
      </c>
      <c r="B7" s="524"/>
      <c r="C7" s="524"/>
      <c r="D7" s="524"/>
      <c r="E7" s="524"/>
      <c r="F7" s="524"/>
      <c r="G7" s="524"/>
      <c r="H7" s="524"/>
      <c r="I7" s="524"/>
      <c r="J7" s="524"/>
    </row>
    <row r="8" spans="1:11">
      <c r="A8" s="531" t="s">
        <v>16</v>
      </c>
      <c r="B8" s="531"/>
      <c r="C8" s="531"/>
      <c r="D8" s="531"/>
      <c r="E8" s="531"/>
      <c r="F8" s="531"/>
      <c r="G8" s="531"/>
      <c r="H8" s="531"/>
      <c r="I8" s="531"/>
      <c r="J8" s="531"/>
    </row>
    <row r="9" spans="1:11">
      <c r="A9" s="534"/>
      <c r="B9" s="534"/>
      <c r="C9" s="534"/>
      <c r="D9" s="534"/>
      <c r="E9" s="534"/>
      <c r="F9" s="534"/>
      <c r="G9" s="534"/>
      <c r="H9" s="534"/>
      <c r="I9" s="534"/>
      <c r="J9" s="534"/>
    </row>
    <row r="10" spans="1:11">
      <c r="A10" s="534" t="s">
        <v>17</v>
      </c>
      <c r="B10" s="534"/>
      <c r="C10" s="534"/>
      <c r="D10" s="534"/>
      <c r="E10" s="534"/>
      <c r="F10" s="534"/>
      <c r="G10" s="534"/>
      <c r="H10" s="534"/>
      <c r="I10" s="534"/>
      <c r="J10" s="534"/>
    </row>
    <row r="11" spans="1:11">
      <c r="A11" s="42"/>
      <c r="B11" s="42"/>
      <c r="C11" s="42"/>
      <c r="D11" s="42"/>
      <c r="E11" s="44"/>
      <c r="F11" s="42"/>
      <c r="G11" s="42"/>
      <c r="H11" s="42"/>
      <c r="I11" s="42"/>
      <c r="J11" s="42"/>
    </row>
    <row r="12" spans="1:11">
      <c r="A12" s="535" t="s">
        <v>3</v>
      </c>
      <c r="B12" s="535"/>
      <c r="C12" s="535"/>
      <c r="D12" s="535"/>
      <c r="E12" s="535"/>
      <c r="F12" s="535"/>
      <c r="G12" s="535"/>
      <c r="H12" s="535"/>
      <c r="I12" s="535"/>
      <c r="J12" s="535"/>
    </row>
    <row r="13" spans="1:11">
      <c r="A13" s="43"/>
      <c r="B13" s="72"/>
      <c r="C13" s="72"/>
      <c r="D13" s="72"/>
      <c r="E13" s="72"/>
      <c r="F13" s="72"/>
      <c r="G13" s="72"/>
      <c r="H13" s="72"/>
      <c r="I13" s="72"/>
      <c r="J13" s="42"/>
    </row>
    <row r="14" spans="1:11" ht="15.6" customHeight="1">
      <c r="A14" s="532" t="s">
        <v>18</v>
      </c>
      <c r="B14" s="532"/>
      <c r="C14" s="532"/>
      <c r="D14" s="532"/>
      <c r="E14" s="41"/>
      <c r="G14" s="41"/>
      <c r="J14" s="40"/>
    </row>
    <row r="15" spans="1:11">
      <c r="A15" s="510" t="s">
        <v>19</v>
      </c>
      <c r="B15" s="511"/>
      <c r="C15" s="511"/>
      <c r="D15" s="511"/>
      <c r="E15" s="511"/>
      <c r="F15" s="511"/>
      <c r="G15" s="511"/>
      <c r="H15" s="511"/>
      <c r="I15" s="512"/>
      <c r="J15" s="23"/>
    </row>
    <row r="16" spans="1:11" ht="44.45" customHeight="1">
      <c r="A16" s="505" t="s">
        <v>20</v>
      </c>
      <c r="B16" s="533"/>
      <c r="C16" s="502" t="s">
        <v>21</v>
      </c>
      <c r="D16" s="520"/>
      <c r="E16" s="520"/>
      <c r="F16" s="521"/>
      <c r="G16" s="541" t="s">
        <v>556</v>
      </c>
      <c r="H16" s="541"/>
      <c r="I16" s="541"/>
      <c r="J16" s="23"/>
    </row>
    <row r="17" spans="1:10" ht="47.25">
      <c r="A17" s="529" t="s">
        <v>22</v>
      </c>
      <c r="B17" s="505" t="s">
        <v>23</v>
      </c>
      <c r="C17" s="506" t="s">
        <v>24</v>
      </c>
      <c r="D17" s="507"/>
      <c r="E17" s="505" t="s">
        <v>25</v>
      </c>
      <c r="F17" s="505" t="s">
        <v>26</v>
      </c>
      <c r="G17" s="33" t="s">
        <v>27</v>
      </c>
      <c r="H17" s="32" t="s">
        <v>28</v>
      </c>
      <c r="I17" s="32" t="s">
        <v>29</v>
      </c>
      <c r="J17" s="23"/>
    </row>
    <row r="18" spans="1:10">
      <c r="A18" s="529"/>
      <c r="B18" s="505"/>
      <c r="C18" s="530"/>
      <c r="D18" s="509"/>
      <c r="E18" s="505"/>
      <c r="F18" s="505"/>
      <c r="G18" s="20" t="s">
        <v>30</v>
      </c>
      <c r="H18" s="20" t="s">
        <v>31</v>
      </c>
      <c r="I18" s="20" t="s">
        <v>32</v>
      </c>
      <c r="J18" s="19"/>
    </row>
    <row r="19" spans="1:10">
      <c r="A19" s="31">
        <v>1</v>
      </c>
      <c r="B19" s="31">
        <v>2</v>
      </c>
      <c r="C19" s="528">
        <v>3</v>
      </c>
      <c r="D19" s="521"/>
      <c r="E19" s="20">
        <v>4</v>
      </c>
      <c r="F19" s="20">
        <v>5</v>
      </c>
      <c r="G19" s="31">
        <v>6</v>
      </c>
      <c r="H19" s="31">
        <v>7</v>
      </c>
      <c r="I19" s="20">
        <v>8</v>
      </c>
      <c r="J19" s="19"/>
    </row>
    <row r="20" spans="1:10">
      <c r="A20" s="22" t="s">
        <v>33</v>
      </c>
      <c r="B20" s="30" t="s">
        <v>34</v>
      </c>
      <c r="C20" s="526">
        <f>+C21+C22</f>
        <v>2729683</v>
      </c>
      <c r="D20" s="527"/>
      <c r="E20" s="27">
        <f>+E21+E22+29</f>
        <v>2819280</v>
      </c>
      <c r="F20" s="27">
        <f>+F21+F22+29</f>
        <v>2790017</v>
      </c>
      <c r="G20" s="28">
        <f t="shared" ref="G20:G25" si="0">+E20-C20</f>
        <v>89597</v>
      </c>
      <c r="H20" s="28">
        <f t="shared" ref="H20:H25" si="1">+F20-E20</f>
        <v>-29263</v>
      </c>
      <c r="I20" s="27">
        <f t="shared" ref="I20:I24" si="2">+F20-C20</f>
        <v>60334</v>
      </c>
      <c r="J20" s="19"/>
    </row>
    <row r="21" spans="1:10" ht="78.75">
      <c r="A21" s="22" t="s">
        <v>35</v>
      </c>
      <c r="B21" s="30" t="s">
        <v>36</v>
      </c>
      <c r="C21" s="526">
        <v>2021667</v>
      </c>
      <c r="D21" s="527"/>
      <c r="E21" s="28">
        <v>2111235</v>
      </c>
      <c r="F21" s="28">
        <v>2081972</v>
      </c>
      <c r="G21" s="28">
        <f t="shared" si="0"/>
        <v>89568</v>
      </c>
      <c r="H21" s="28">
        <f t="shared" si="1"/>
        <v>-29263</v>
      </c>
      <c r="I21" s="27">
        <f t="shared" si="2"/>
        <v>60305</v>
      </c>
      <c r="J21" s="39"/>
    </row>
    <row r="22" spans="1:10" ht="31.5">
      <c r="A22" s="22" t="s">
        <v>37</v>
      </c>
      <c r="B22" s="30" t="s">
        <v>38</v>
      </c>
      <c r="C22" s="526">
        <v>708016</v>
      </c>
      <c r="D22" s="527"/>
      <c r="E22" s="28">
        <v>708016</v>
      </c>
      <c r="F22" s="28">
        <v>708016</v>
      </c>
      <c r="G22" s="28">
        <f t="shared" si="0"/>
        <v>0</v>
      </c>
      <c r="H22" s="28">
        <f t="shared" si="1"/>
        <v>0</v>
      </c>
      <c r="I22" s="27">
        <f t="shared" si="2"/>
        <v>0</v>
      </c>
      <c r="J22" s="19"/>
    </row>
    <row r="23" spans="1:10" ht="31.5">
      <c r="A23" s="22" t="s">
        <v>39</v>
      </c>
      <c r="B23" s="30" t="s">
        <v>40</v>
      </c>
      <c r="C23" s="526">
        <v>124902</v>
      </c>
      <c r="D23" s="527"/>
      <c r="E23" s="28">
        <v>115592</v>
      </c>
      <c r="F23" s="28">
        <v>115600</v>
      </c>
      <c r="G23" s="28">
        <f t="shared" si="0"/>
        <v>-9310</v>
      </c>
      <c r="H23" s="28">
        <f t="shared" si="1"/>
        <v>8</v>
      </c>
      <c r="I23" s="27">
        <f t="shared" si="2"/>
        <v>-9302</v>
      </c>
      <c r="J23" s="19"/>
    </row>
    <row r="24" spans="1:10">
      <c r="A24" s="22" t="s">
        <v>41</v>
      </c>
      <c r="B24" s="30" t="s">
        <v>42</v>
      </c>
      <c r="C24" s="526">
        <v>24735</v>
      </c>
      <c r="D24" s="527"/>
      <c r="E24" s="28">
        <v>24929</v>
      </c>
      <c r="F24" s="28">
        <v>24984</v>
      </c>
      <c r="G24" s="28">
        <f t="shared" si="0"/>
        <v>194</v>
      </c>
      <c r="H24" s="28">
        <f t="shared" si="1"/>
        <v>55</v>
      </c>
      <c r="I24" s="27">
        <f t="shared" si="2"/>
        <v>249</v>
      </c>
      <c r="J24" s="19"/>
    </row>
    <row r="25" spans="1:10">
      <c r="A25" s="519" t="s">
        <v>43</v>
      </c>
      <c r="B25" s="519"/>
      <c r="C25" s="536">
        <f>C20+C24+C23</f>
        <v>2879320</v>
      </c>
      <c r="D25" s="537"/>
      <c r="E25" s="494">
        <f>+E20+E23+E24-1</f>
        <v>2959800</v>
      </c>
      <c r="F25" s="29">
        <f>+F20+F23+F24</f>
        <v>2930601</v>
      </c>
      <c r="G25" s="29">
        <f t="shared" si="0"/>
        <v>80480</v>
      </c>
      <c r="H25" s="29">
        <f t="shared" si="1"/>
        <v>-29199</v>
      </c>
      <c r="I25" s="38">
        <f>+F25-C25</f>
        <v>51281</v>
      </c>
      <c r="J25" s="37"/>
    </row>
    <row r="26" spans="1:10">
      <c r="A26" s="36"/>
      <c r="B26" s="35"/>
      <c r="C26" s="19"/>
      <c r="D26" s="75"/>
      <c r="E26" s="34"/>
      <c r="F26" s="29"/>
      <c r="G26" s="34"/>
      <c r="H26" s="34"/>
      <c r="I26" s="19"/>
      <c r="J26" s="19"/>
    </row>
    <row r="27" spans="1:10">
      <c r="A27" s="502" t="s">
        <v>44</v>
      </c>
      <c r="B27" s="503"/>
      <c r="C27" s="503"/>
      <c r="D27" s="503"/>
      <c r="E27" s="503"/>
      <c r="F27" s="503"/>
      <c r="G27" s="503"/>
      <c r="H27" s="503"/>
      <c r="I27" s="503"/>
      <c r="J27" s="504"/>
    </row>
    <row r="28" spans="1:10" ht="37.25" customHeight="1">
      <c r="A28" s="505" t="s">
        <v>45</v>
      </c>
      <c r="B28" s="505"/>
      <c r="C28" s="502" t="s">
        <v>46</v>
      </c>
      <c r="D28" s="503"/>
      <c r="E28" s="503"/>
      <c r="F28" s="503"/>
      <c r="G28" s="503"/>
      <c r="H28" s="504"/>
      <c r="I28" s="506" t="s">
        <v>47</v>
      </c>
      <c r="J28" s="507"/>
    </row>
    <row r="29" spans="1:10">
      <c r="A29" s="505"/>
      <c r="B29" s="505"/>
      <c r="C29" s="505" t="s">
        <v>24</v>
      </c>
      <c r="D29" s="510" t="s">
        <v>48</v>
      </c>
      <c r="E29" s="511"/>
      <c r="F29" s="512"/>
      <c r="G29" s="514" t="s">
        <v>49</v>
      </c>
      <c r="H29" s="514" t="s">
        <v>50</v>
      </c>
      <c r="I29" s="508"/>
      <c r="J29" s="509"/>
    </row>
    <row r="30" spans="1:10">
      <c r="A30" s="517" t="s">
        <v>22</v>
      </c>
      <c r="B30" s="514" t="s">
        <v>23</v>
      </c>
      <c r="C30" s="505"/>
      <c r="D30" s="513" t="s">
        <v>51</v>
      </c>
      <c r="E30" s="513" t="s">
        <v>52</v>
      </c>
      <c r="F30" s="513" t="s">
        <v>53</v>
      </c>
      <c r="G30" s="515"/>
      <c r="H30" s="515"/>
      <c r="I30" s="33" t="s">
        <v>54</v>
      </c>
      <c r="J30" s="33" t="s">
        <v>55</v>
      </c>
    </row>
    <row r="31" spans="1:10" ht="36.6" customHeight="1">
      <c r="A31" s="518"/>
      <c r="B31" s="516"/>
      <c r="C31" s="20" t="s">
        <v>56</v>
      </c>
      <c r="D31" s="513"/>
      <c r="E31" s="513"/>
      <c r="F31" s="513"/>
      <c r="G31" s="516"/>
      <c r="H31" s="516"/>
      <c r="I31" s="20" t="s">
        <v>57</v>
      </c>
      <c r="J31" s="20" t="s">
        <v>58</v>
      </c>
    </row>
    <row r="32" spans="1:10">
      <c r="A32" s="31">
        <v>1</v>
      </c>
      <c r="B32" s="31">
        <v>2</v>
      </c>
      <c r="C32" s="20">
        <v>3</v>
      </c>
      <c r="D32" s="20">
        <v>4</v>
      </c>
      <c r="E32" s="20">
        <v>5</v>
      </c>
      <c r="F32" s="20">
        <v>6</v>
      </c>
      <c r="G32" s="20">
        <v>7</v>
      </c>
      <c r="H32" s="20">
        <v>8</v>
      </c>
      <c r="I32" s="20">
        <v>9</v>
      </c>
      <c r="J32" s="31">
        <v>10</v>
      </c>
    </row>
    <row r="33" spans="1:12">
      <c r="A33" s="22" t="s">
        <v>33</v>
      </c>
      <c r="B33" s="30" t="s">
        <v>59</v>
      </c>
      <c r="C33" s="28">
        <f t="shared" ref="C33:C39" si="3">+D33+E33+F34</f>
        <v>2148435</v>
      </c>
      <c r="D33" s="28">
        <v>2097928</v>
      </c>
      <c r="E33" s="28">
        <v>50507</v>
      </c>
      <c r="F33" s="28">
        <v>0</v>
      </c>
      <c r="G33" s="28">
        <v>2068038</v>
      </c>
      <c r="H33" s="28">
        <v>2079857</v>
      </c>
      <c r="I33" s="28">
        <f t="shared" ref="I33:I39" si="4">+H33-C33</f>
        <v>-68578</v>
      </c>
      <c r="J33" s="27">
        <f t="shared" ref="J33:J39" si="5">+H33/C33*100</f>
        <v>96.808002103856992</v>
      </c>
    </row>
    <row r="34" spans="1:12" ht="63">
      <c r="A34" s="22" t="s">
        <v>39</v>
      </c>
      <c r="B34" s="30" t="s">
        <v>60</v>
      </c>
      <c r="C34" s="28">
        <f t="shared" si="3"/>
        <v>536303</v>
      </c>
      <c r="D34" s="28">
        <v>536303</v>
      </c>
      <c r="E34" s="28">
        <v>0</v>
      </c>
      <c r="F34" s="28">
        <v>0</v>
      </c>
      <c r="G34" s="28">
        <v>596506</v>
      </c>
      <c r="H34" s="28">
        <v>474349</v>
      </c>
      <c r="I34" s="28">
        <f t="shared" si="4"/>
        <v>-61954</v>
      </c>
      <c r="J34" s="27">
        <f t="shared" si="5"/>
        <v>88.44794826804997</v>
      </c>
    </row>
    <row r="35" spans="1:12" ht="31.5">
      <c r="A35" s="22" t="s">
        <v>41</v>
      </c>
      <c r="B35" s="30" t="s">
        <v>61</v>
      </c>
      <c r="C35" s="28">
        <f t="shared" si="3"/>
        <v>193078</v>
      </c>
      <c r="D35" s="28">
        <v>193078</v>
      </c>
      <c r="E35" s="28">
        <v>0</v>
      </c>
      <c r="F35" s="28">
        <v>0</v>
      </c>
      <c r="G35" s="28">
        <v>157608</v>
      </c>
      <c r="H35" s="28">
        <v>154915</v>
      </c>
      <c r="I35" s="28">
        <f t="shared" si="4"/>
        <v>-38163</v>
      </c>
      <c r="J35" s="27">
        <f t="shared" si="5"/>
        <v>80.234413035146417</v>
      </c>
    </row>
    <row r="36" spans="1:12" ht="47.25">
      <c r="A36" s="22" t="s">
        <v>62</v>
      </c>
      <c r="B36" s="30" t="s">
        <v>63</v>
      </c>
      <c r="C36" s="28">
        <f t="shared" si="3"/>
        <v>31477</v>
      </c>
      <c r="D36" s="28">
        <v>31477</v>
      </c>
      <c r="E36" s="28">
        <v>0</v>
      </c>
      <c r="F36" s="28">
        <v>0</v>
      </c>
      <c r="G36" s="28">
        <v>22676</v>
      </c>
      <c r="H36" s="28">
        <v>19805</v>
      </c>
      <c r="I36" s="28">
        <f t="shared" si="4"/>
        <v>-11672</v>
      </c>
      <c r="J36" s="27">
        <f t="shared" si="5"/>
        <v>62.918956698541791</v>
      </c>
    </row>
    <row r="37" spans="1:12" ht="47.25">
      <c r="A37" s="22" t="s">
        <v>64</v>
      </c>
      <c r="B37" s="30" t="s">
        <v>65</v>
      </c>
      <c r="C37" s="28">
        <f t="shared" si="3"/>
        <v>2831</v>
      </c>
      <c r="D37" s="28">
        <v>2831</v>
      </c>
      <c r="E37" s="28">
        <v>0</v>
      </c>
      <c r="F37" s="28">
        <v>0</v>
      </c>
      <c r="G37" s="28">
        <v>2707</v>
      </c>
      <c r="H37" s="28">
        <v>2602</v>
      </c>
      <c r="I37" s="28">
        <f t="shared" si="4"/>
        <v>-229</v>
      </c>
      <c r="J37" s="27">
        <f t="shared" si="5"/>
        <v>91.910985517484988</v>
      </c>
    </row>
    <row r="38" spans="1:12" ht="47.25">
      <c r="A38" s="22" t="s">
        <v>66</v>
      </c>
      <c r="B38" s="30" t="s">
        <v>67</v>
      </c>
      <c r="C38" s="28">
        <f t="shared" si="3"/>
        <v>124902</v>
      </c>
      <c r="D38" s="28">
        <v>124902</v>
      </c>
      <c r="E38" s="28">
        <v>0</v>
      </c>
      <c r="F38" s="28">
        <v>0</v>
      </c>
      <c r="G38" s="28">
        <v>126184</v>
      </c>
      <c r="H38" s="28">
        <v>114125</v>
      </c>
      <c r="I38" s="28">
        <f t="shared" si="4"/>
        <v>-10777</v>
      </c>
      <c r="J38" s="27">
        <f t="shared" si="5"/>
        <v>91.371635362123911</v>
      </c>
    </row>
    <row r="39" spans="1:12">
      <c r="A39" s="519" t="s">
        <v>68</v>
      </c>
      <c r="B39" s="519"/>
      <c r="C39" s="29">
        <f t="shared" si="3"/>
        <v>3037026</v>
      </c>
      <c r="D39" s="29">
        <f>+SUM(D33:D38)</f>
        <v>2986519</v>
      </c>
      <c r="E39" s="29">
        <f>+SUM(E33:E38)</f>
        <v>50507</v>
      </c>
      <c r="F39" s="29">
        <f>+SUM(F33:F38)</f>
        <v>0</v>
      </c>
      <c r="G39" s="29">
        <f>+SUM(G33:G38)-1</f>
        <v>2973718</v>
      </c>
      <c r="H39" s="29">
        <f>+SUM(H33:H38)</f>
        <v>2845653</v>
      </c>
      <c r="I39" s="29">
        <f t="shared" si="4"/>
        <v>-191373</v>
      </c>
      <c r="J39" s="38">
        <f t="shared" si="5"/>
        <v>93.698671002487302</v>
      </c>
      <c r="K39" s="6"/>
      <c r="L39" s="6"/>
    </row>
    <row r="40" spans="1:12">
      <c r="A40" s="26" t="s">
        <v>69</v>
      </c>
      <c r="B40" s="51" t="s">
        <v>70</v>
      </c>
      <c r="C40" s="25"/>
      <c r="D40" s="25"/>
      <c r="E40" s="25"/>
      <c r="F40" s="25"/>
      <c r="G40" s="25"/>
      <c r="H40" s="25"/>
      <c r="I40" s="25"/>
      <c r="J40" s="24"/>
    </row>
    <row r="41" spans="1:12">
      <c r="A41" s="502" t="s">
        <v>71</v>
      </c>
      <c r="B41" s="520"/>
      <c r="C41" s="520"/>
      <c r="D41" s="520"/>
      <c r="E41" s="520"/>
      <c r="F41" s="520"/>
      <c r="G41" s="520"/>
      <c r="H41" s="520"/>
      <c r="I41" s="521"/>
      <c r="J41" s="23"/>
    </row>
    <row r="42" spans="1:12">
      <c r="A42" s="529" t="s">
        <v>72</v>
      </c>
      <c r="B42" s="529"/>
      <c r="C42" s="550" t="s">
        <v>73</v>
      </c>
      <c r="D42" s="533" t="s">
        <v>48</v>
      </c>
      <c r="E42" s="533"/>
      <c r="F42" s="533"/>
      <c r="G42" s="550" t="s">
        <v>74</v>
      </c>
      <c r="H42" s="552" t="s">
        <v>75</v>
      </c>
      <c r="I42" s="553"/>
      <c r="J42" s="74"/>
    </row>
    <row r="43" spans="1:12">
      <c r="A43" s="529"/>
      <c r="B43" s="529"/>
      <c r="C43" s="550"/>
      <c r="D43" s="538" t="s">
        <v>76</v>
      </c>
      <c r="E43" s="538" t="s">
        <v>77</v>
      </c>
      <c r="F43" s="538"/>
      <c r="G43" s="551"/>
      <c r="H43" s="539" t="s">
        <v>78</v>
      </c>
      <c r="I43" s="538" t="s">
        <v>79</v>
      </c>
      <c r="J43" s="546"/>
    </row>
    <row r="44" spans="1:12">
      <c r="A44" s="529"/>
      <c r="B44" s="529"/>
      <c r="C44" s="20" t="s">
        <v>80</v>
      </c>
      <c r="D44" s="538"/>
      <c r="E44" s="538"/>
      <c r="F44" s="538"/>
      <c r="G44" s="21" t="s">
        <v>81</v>
      </c>
      <c r="H44" s="540"/>
      <c r="I44" s="538"/>
      <c r="J44" s="546"/>
    </row>
    <row r="45" spans="1:12">
      <c r="A45" s="547">
        <v>1</v>
      </c>
      <c r="B45" s="547"/>
      <c r="C45" s="20" t="s">
        <v>82</v>
      </c>
      <c r="D45" s="20" t="s">
        <v>83</v>
      </c>
      <c r="E45" s="547">
        <v>4</v>
      </c>
      <c r="F45" s="547"/>
      <c r="G45" s="20" t="s">
        <v>84</v>
      </c>
      <c r="H45" s="20" t="s">
        <v>85</v>
      </c>
      <c r="I45" s="20">
        <v>7</v>
      </c>
      <c r="J45" s="19"/>
    </row>
    <row r="46" spans="1:12">
      <c r="A46" s="548" t="s">
        <v>86</v>
      </c>
      <c r="B46" s="548"/>
      <c r="C46" s="18">
        <f>+D46+E46</f>
        <v>283572</v>
      </c>
      <c r="D46" s="16">
        <v>5792</v>
      </c>
      <c r="E46" s="549">
        <v>277780</v>
      </c>
      <c r="F46" s="549"/>
      <c r="G46" s="17">
        <f>+H46+I46</f>
        <v>548326</v>
      </c>
      <c r="H46" s="16">
        <v>51917</v>
      </c>
      <c r="I46" s="16">
        <v>496409</v>
      </c>
      <c r="J46" s="6"/>
    </row>
    <row r="47" spans="1:12">
      <c r="A47" s="548" t="s">
        <v>87</v>
      </c>
      <c r="B47" s="548"/>
      <c r="C47" s="18">
        <f>+D47+E47</f>
        <v>141246</v>
      </c>
      <c r="D47" s="16">
        <v>5792</v>
      </c>
      <c r="E47" s="549">
        <f>+E46+F25-H39-277780+50507-1</f>
        <v>135454</v>
      </c>
      <c r="F47" s="549"/>
      <c r="G47" s="69">
        <f>+H47+I47</f>
        <v>775600</v>
      </c>
      <c r="H47" s="70">
        <v>59097</v>
      </c>
      <c r="I47" s="70">
        <v>716503</v>
      </c>
      <c r="J47" s="15"/>
    </row>
    <row r="48" spans="1:12">
      <c r="A48" s="14"/>
      <c r="B48" s="12"/>
      <c r="C48" s="10"/>
      <c r="D48" s="6"/>
      <c r="E48" s="13"/>
      <c r="F48" s="13"/>
      <c r="G48" s="9"/>
      <c r="H48" s="6"/>
      <c r="I48" s="6"/>
      <c r="J48" s="6"/>
    </row>
    <row r="49" spans="1:10">
      <c r="A49" s="11"/>
      <c r="B49" s="11"/>
      <c r="C49" s="10"/>
      <c r="D49" s="6"/>
      <c r="E49" s="13"/>
      <c r="F49" s="13"/>
      <c r="G49" s="9"/>
      <c r="H49" s="6"/>
      <c r="I49" s="6"/>
      <c r="J49" s="6"/>
    </row>
    <row r="50" spans="1:10">
      <c r="A50" s="542" t="s">
        <v>88</v>
      </c>
      <c r="B50" s="542"/>
      <c r="C50" s="542"/>
      <c r="D50" s="6"/>
      <c r="E50" s="52"/>
      <c r="F50" s="52"/>
      <c r="G50" s="53"/>
      <c r="H50" s="6" t="s">
        <v>89</v>
      </c>
      <c r="I50" s="6"/>
      <c r="J50" s="6"/>
    </row>
    <row r="51" spans="1:10">
      <c r="A51" s="11"/>
      <c r="B51" s="11"/>
      <c r="C51" s="10"/>
      <c r="D51" s="6"/>
      <c r="E51" s="54" t="s">
        <v>90</v>
      </c>
      <c r="F51" s="52"/>
      <c r="G51" s="68"/>
      <c r="H51" s="68"/>
      <c r="I51" s="68"/>
      <c r="J51" s="68"/>
    </row>
    <row r="52" spans="1:10">
      <c r="A52" s="11"/>
      <c r="B52" s="11"/>
      <c r="C52" s="10"/>
      <c r="D52" s="6"/>
      <c r="E52" s="52" t="s">
        <v>91</v>
      </c>
      <c r="F52" s="174"/>
      <c r="H52" s="6"/>
      <c r="I52" s="6"/>
      <c r="J52" s="6"/>
    </row>
    <row r="53" spans="1:10" ht="15.6" customHeight="1">
      <c r="A53" s="55" t="s">
        <v>92</v>
      </c>
      <c r="B53" s="55"/>
      <c r="C53" s="10"/>
      <c r="D53" s="6"/>
      <c r="E53" s="56"/>
      <c r="F53" s="56"/>
      <c r="G53" s="9"/>
      <c r="H53" s="543" t="s">
        <v>93</v>
      </c>
      <c r="I53" s="543"/>
      <c r="J53" s="6"/>
    </row>
    <row r="54" spans="1:10">
      <c r="A54" s="544"/>
      <c r="B54" s="544"/>
      <c r="C54" s="8"/>
      <c r="D54" s="57"/>
      <c r="E54" s="54" t="s">
        <v>90</v>
      </c>
      <c r="F54" s="73"/>
      <c r="H54" s="545"/>
      <c r="I54" s="501"/>
      <c r="J54" s="58"/>
    </row>
    <row r="55" spans="1:10">
      <c r="A55" s="8"/>
      <c r="B55" s="8"/>
      <c r="C55" s="59"/>
      <c r="D55" s="60"/>
      <c r="E55" s="61"/>
      <c r="F55" s="61"/>
      <c r="H55" s="58"/>
      <c r="I55" s="58"/>
      <c r="J55" s="58"/>
    </row>
    <row r="56" spans="1:10">
      <c r="A56" s="500"/>
      <c r="B56" s="501"/>
      <c r="C56" s="62"/>
      <c r="D56" s="62"/>
      <c r="E56" s="7"/>
      <c r="F56" s="7"/>
      <c r="G56" s="6"/>
      <c r="H56" s="63"/>
      <c r="I56" s="63"/>
      <c r="J56" s="63"/>
    </row>
    <row r="57" spans="1:10">
      <c r="A57" s="64"/>
      <c r="B57" s="8"/>
      <c r="C57" s="8"/>
      <c r="D57" s="8"/>
      <c r="E57" s="65"/>
      <c r="F57" s="65"/>
      <c r="G57" s="66"/>
      <c r="H57" s="65"/>
      <c r="I57" s="71"/>
      <c r="J57" s="67"/>
    </row>
  </sheetData>
  <mergeCells count="62">
    <mergeCell ref="A50:C50"/>
    <mergeCell ref="H53:I53"/>
    <mergeCell ref="A54:B54"/>
    <mergeCell ref="H54:I54"/>
    <mergeCell ref="J43:J44"/>
    <mergeCell ref="A45:B45"/>
    <mergeCell ref="E45:F45"/>
    <mergeCell ref="A46:B46"/>
    <mergeCell ref="E46:F46"/>
    <mergeCell ref="A47:B47"/>
    <mergeCell ref="E47:F47"/>
    <mergeCell ref="A42:B44"/>
    <mergeCell ref="C42:C43"/>
    <mergeCell ref="D42:F42"/>
    <mergeCell ref="G42:G43"/>
    <mergeCell ref="H42:I42"/>
    <mergeCell ref="D43:D44"/>
    <mergeCell ref="E43:F44"/>
    <mergeCell ref="H43:H44"/>
    <mergeCell ref="I43:I44"/>
    <mergeCell ref="C16:F16"/>
    <mergeCell ref="G16:I16"/>
    <mergeCell ref="A9:J9"/>
    <mergeCell ref="A10:J10"/>
    <mergeCell ref="A12:J12"/>
    <mergeCell ref="A25:B25"/>
    <mergeCell ref="C22:D22"/>
    <mergeCell ref="C23:D23"/>
    <mergeCell ref="C24:D24"/>
    <mergeCell ref="C25:D25"/>
    <mergeCell ref="G2:K2"/>
    <mergeCell ref="G3:K3"/>
    <mergeCell ref="A7:J7"/>
    <mergeCell ref="A5:J5"/>
    <mergeCell ref="C21:D21"/>
    <mergeCell ref="E17:E18"/>
    <mergeCell ref="F17:F18"/>
    <mergeCell ref="C19:D19"/>
    <mergeCell ref="C20:D20"/>
    <mergeCell ref="A17:A18"/>
    <mergeCell ref="B17:B18"/>
    <mergeCell ref="C17:D18"/>
    <mergeCell ref="A8:J8"/>
    <mergeCell ref="A14:D14"/>
    <mergeCell ref="A15:I15"/>
    <mergeCell ref="A16:B16"/>
    <mergeCell ref="A56:B56"/>
    <mergeCell ref="A27:J27"/>
    <mergeCell ref="A28:B29"/>
    <mergeCell ref="C28:H28"/>
    <mergeCell ref="I28:J29"/>
    <mergeCell ref="C29:C30"/>
    <mergeCell ref="D29:F29"/>
    <mergeCell ref="F30:F31"/>
    <mergeCell ref="G29:G31"/>
    <mergeCell ref="H29:H31"/>
    <mergeCell ref="A30:A31"/>
    <mergeCell ref="B30:B31"/>
    <mergeCell ref="D30:D31"/>
    <mergeCell ref="E30:E31"/>
    <mergeCell ref="A39:B39"/>
    <mergeCell ref="A41:I41"/>
  </mergeCells>
  <pageMargins left="0.70866141732283472" right="0.70866141732283472" top="0.74803149606299213" bottom="0.74803149606299213" header="0.31496062992125984" footer="0.31496062992125984"/>
  <pageSetup paperSize="9" scale="45" firstPageNumber="3" orientation="portrait" useFirstPageNumber="1" r:id="rId1"/>
  <headerFooter>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3F662-5546-4A13-ADE3-9EA69E3E8DDE}">
  <sheetPr>
    <pageSetUpPr fitToPage="1"/>
  </sheetPr>
  <dimension ref="A1:T102"/>
  <sheetViews>
    <sheetView showGridLines="0" topLeftCell="A7" zoomScaleNormal="100" workbookViewId="0">
      <selection activeCell="A58" sqref="A58:B58"/>
    </sheetView>
  </sheetViews>
  <sheetFormatPr defaultColWidth="9.33203125" defaultRowHeight="15.4"/>
  <cols>
    <col min="1" max="1" width="13.53125" style="175" customWidth="1"/>
    <col min="2" max="2" width="94.6640625" style="176" customWidth="1"/>
    <col min="3" max="4" width="26" style="177" customWidth="1"/>
    <col min="5" max="5" width="26" style="178" customWidth="1"/>
    <col min="6" max="9" width="26" style="177" customWidth="1"/>
    <col min="10" max="10" width="9.33203125" style="176"/>
    <col min="11" max="11" width="11.53125" style="176" customWidth="1"/>
    <col min="12" max="16384" width="9.33203125" style="176"/>
  </cols>
  <sheetData>
    <row r="1" spans="1:11">
      <c r="H1" s="572" t="s">
        <v>94</v>
      </c>
      <c r="I1" s="572"/>
      <c r="J1" s="573"/>
      <c r="K1" s="573"/>
    </row>
    <row r="2" spans="1:11">
      <c r="D2" s="179"/>
      <c r="H2" s="572" t="s">
        <v>95</v>
      </c>
      <c r="I2" s="572"/>
      <c r="J2" s="573"/>
      <c r="K2" s="573"/>
    </row>
    <row r="3" spans="1:11">
      <c r="C3" s="180"/>
      <c r="D3" s="181"/>
      <c r="E3" s="182"/>
      <c r="F3" s="180"/>
      <c r="G3" s="180"/>
      <c r="H3" s="572" t="s">
        <v>96</v>
      </c>
      <c r="I3" s="572"/>
      <c r="J3" s="573"/>
      <c r="K3" s="573"/>
    </row>
    <row r="4" spans="1:11">
      <c r="D4" s="181"/>
      <c r="H4" s="572" t="s">
        <v>97</v>
      </c>
      <c r="I4" s="572"/>
      <c r="J4" s="573"/>
      <c r="K4" s="573"/>
    </row>
    <row r="5" spans="1:11">
      <c r="D5" s="181"/>
      <c r="H5" s="572" t="s">
        <v>98</v>
      </c>
      <c r="I5" s="572"/>
      <c r="J5" s="573"/>
      <c r="K5" s="573"/>
    </row>
    <row r="6" spans="1:11">
      <c r="H6" s="572"/>
      <c r="I6" s="572"/>
      <c r="J6" s="573"/>
      <c r="K6" s="573"/>
    </row>
    <row r="7" spans="1:11">
      <c r="H7" s="575"/>
      <c r="I7" s="575"/>
      <c r="J7" s="573"/>
      <c r="K7" s="573"/>
    </row>
    <row r="8" spans="1:11">
      <c r="H8" s="575"/>
      <c r="I8" s="575"/>
      <c r="J8" s="573"/>
      <c r="K8" s="573"/>
    </row>
    <row r="9" spans="1:11" ht="10.5" customHeight="1">
      <c r="G9" s="176"/>
      <c r="H9" s="575"/>
      <c r="I9" s="575"/>
    </row>
    <row r="10" spans="1:11" ht="17.25">
      <c r="A10" s="574" t="s">
        <v>0</v>
      </c>
      <c r="B10" s="574"/>
      <c r="C10" s="574"/>
      <c r="D10" s="574"/>
      <c r="E10" s="574"/>
      <c r="F10" s="574"/>
      <c r="G10" s="574"/>
      <c r="H10" s="574"/>
      <c r="I10" s="574"/>
    </row>
    <row r="11" spans="1:11" ht="9" customHeight="1">
      <c r="A11" s="184"/>
      <c r="B11" s="184"/>
      <c r="C11" s="184"/>
      <c r="D11" s="184"/>
      <c r="E11" s="184"/>
      <c r="F11" s="184"/>
      <c r="G11" s="184"/>
      <c r="H11" s="184"/>
      <c r="I11" s="184"/>
    </row>
    <row r="12" spans="1:11" ht="17.25">
      <c r="A12" s="574" t="s">
        <v>99</v>
      </c>
      <c r="B12" s="574"/>
      <c r="C12" s="574"/>
      <c r="D12" s="574"/>
      <c r="E12" s="574"/>
      <c r="F12" s="574"/>
      <c r="G12" s="574"/>
      <c r="H12" s="574"/>
      <c r="I12" s="574"/>
    </row>
    <row r="13" spans="1:11" ht="8.25" customHeight="1">
      <c r="A13" s="184"/>
      <c r="B13" s="184"/>
      <c r="C13" s="184"/>
      <c r="D13" s="184"/>
      <c r="E13" s="184"/>
      <c r="F13" s="184"/>
      <c r="G13" s="184"/>
      <c r="H13" s="184"/>
      <c r="I13" s="184"/>
    </row>
    <row r="14" spans="1:11">
      <c r="A14" s="569" t="s">
        <v>16</v>
      </c>
      <c r="B14" s="569"/>
      <c r="C14" s="569"/>
      <c r="D14" s="569"/>
      <c r="E14" s="569"/>
      <c r="F14" s="569"/>
      <c r="G14" s="569"/>
      <c r="H14" s="569"/>
      <c r="I14" s="569"/>
    </row>
    <row r="15" spans="1:11" ht="11.25" customHeight="1">
      <c r="A15" s="183"/>
      <c r="B15" s="183"/>
      <c r="C15" s="183"/>
      <c r="D15" s="183"/>
      <c r="E15" s="184"/>
      <c r="F15" s="183"/>
      <c r="G15" s="183"/>
      <c r="H15" s="183"/>
      <c r="I15" s="183"/>
    </row>
    <row r="16" spans="1:11">
      <c r="A16" s="570"/>
      <c r="B16" s="570"/>
      <c r="C16" s="570"/>
      <c r="D16" s="570"/>
      <c r="E16" s="570"/>
      <c r="F16" s="570"/>
      <c r="G16" s="570"/>
      <c r="H16" s="570"/>
      <c r="I16" s="570"/>
    </row>
    <row r="17" spans="1:20">
      <c r="A17" s="558"/>
      <c r="B17" s="558"/>
      <c r="C17" s="558"/>
      <c r="D17" s="558"/>
      <c r="E17" s="558"/>
      <c r="F17" s="558"/>
      <c r="G17" s="558"/>
      <c r="H17" s="558"/>
      <c r="I17" s="558"/>
    </row>
    <row r="18" spans="1:20" ht="7.5" customHeight="1"/>
    <row r="19" spans="1:20" ht="10.5" customHeight="1"/>
    <row r="20" spans="1:20">
      <c r="A20" s="571" t="s">
        <v>100</v>
      </c>
      <c r="B20" s="571"/>
      <c r="C20" s="571"/>
      <c r="D20" s="178"/>
      <c r="F20" s="178"/>
      <c r="G20" s="178"/>
      <c r="H20" s="178"/>
      <c r="I20" s="440" t="s">
        <v>101</v>
      </c>
    </row>
    <row r="21" spans="1:20" ht="15.6" customHeight="1">
      <c r="A21" s="559" t="s">
        <v>102</v>
      </c>
      <c r="B21" s="559"/>
      <c r="C21" s="555" t="s">
        <v>103</v>
      </c>
      <c r="D21" s="555"/>
      <c r="E21" s="555" t="s">
        <v>104</v>
      </c>
      <c r="F21" s="555"/>
      <c r="G21" s="555"/>
      <c r="H21" s="555" t="s">
        <v>105</v>
      </c>
      <c r="I21" s="555"/>
    </row>
    <row r="22" spans="1:20">
      <c r="A22" s="441" t="s">
        <v>106</v>
      </c>
      <c r="B22" s="441" t="s">
        <v>107</v>
      </c>
      <c r="C22" s="185" t="s">
        <v>108</v>
      </c>
      <c r="D22" s="185" t="s">
        <v>109</v>
      </c>
      <c r="E22" s="185" t="s">
        <v>110</v>
      </c>
      <c r="F22" s="195" t="s">
        <v>111</v>
      </c>
      <c r="G22" s="195" t="s">
        <v>112</v>
      </c>
      <c r="H22" s="185" t="s">
        <v>108</v>
      </c>
      <c r="I22" s="185" t="s">
        <v>109</v>
      </c>
    </row>
    <row r="23" spans="1:20" s="187" customFormat="1">
      <c r="A23" s="186">
        <v>1</v>
      </c>
      <c r="B23" s="186">
        <v>2</v>
      </c>
      <c r="C23" s="186">
        <v>3</v>
      </c>
      <c r="D23" s="186">
        <v>4</v>
      </c>
      <c r="E23" s="186">
        <v>5</v>
      </c>
      <c r="F23" s="186">
        <v>6</v>
      </c>
      <c r="G23" s="186">
        <v>7</v>
      </c>
      <c r="H23" s="186">
        <v>8</v>
      </c>
      <c r="I23" s="186">
        <v>9</v>
      </c>
      <c r="T23" s="176"/>
    </row>
    <row r="24" spans="1:20" s="187" customFormat="1" ht="30.75">
      <c r="A24" s="560" t="s">
        <v>33</v>
      </c>
      <c r="B24" s="194" t="s">
        <v>113</v>
      </c>
      <c r="C24" s="185">
        <f>SUM(C25:C28)</f>
        <v>560340735.91999984</v>
      </c>
      <c r="D24" s="185">
        <f>SUM(D25:D28)</f>
        <v>0</v>
      </c>
      <c r="E24" s="185">
        <f>E29+E34</f>
        <v>2729683000</v>
      </c>
      <c r="F24" s="185">
        <f>SUM(F25:F28)</f>
        <v>2819279703.1800008</v>
      </c>
      <c r="G24" s="185">
        <f>SUM(G25:G28)</f>
        <v>2790016759.8400002</v>
      </c>
      <c r="H24" s="185">
        <f>C24-D24+F24-G24+I24</f>
        <v>589603679.26000023</v>
      </c>
      <c r="I24" s="185">
        <f>SUM(I25:I28)</f>
        <v>0</v>
      </c>
    </row>
    <row r="25" spans="1:20" s="187" customFormat="1">
      <c r="A25" s="560"/>
      <c r="B25" s="192" t="s">
        <v>114</v>
      </c>
      <c r="C25" s="188">
        <f>C30+C34+C36</f>
        <v>559630507.17999995</v>
      </c>
      <c r="D25" s="188">
        <f>D30+D34+D36</f>
        <v>0</v>
      </c>
      <c r="E25" s="188" t="s">
        <v>115</v>
      </c>
      <c r="F25" s="188">
        <f>F30+F34+F36</f>
        <v>2819031097.3300004</v>
      </c>
      <c r="G25" s="188">
        <f>G30+G34+G36</f>
        <v>2789733745.2600002</v>
      </c>
      <c r="H25" s="189">
        <f>C25+F25-G25+I25-D25</f>
        <v>588927859.25</v>
      </c>
      <c r="I25" s="188">
        <f>I30+I34+I36</f>
        <v>0</v>
      </c>
    </row>
    <row r="26" spans="1:20" s="187" customFormat="1">
      <c r="A26" s="560"/>
      <c r="B26" s="192" t="s">
        <v>116</v>
      </c>
      <c r="C26" s="188">
        <f>C31+C37</f>
        <v>88060.91</v>
      </c>
      <c r="D26" s="188">
        <f>D31+D37</f>
        <v>0</v>
      </c>
      <c r="E26" s="188" t="s">
        <v>115</v>
      </c>
      <c r="F26" s="188">
        <f>F31+F37</f>
        <v>30441.919999999998</v>
      </c>
      <c r="G26" s="188">
        <f>G31+G37</f>
        <v>13570.25</v>
      </c>
      <c r="H26" s="189">
        <f>C26+F26-G26+I26-D26</f>
        <v>104932.58</v>
      </c>
      <c r="I26" s="188">
        <f>I31+I37</f>
        <v>0</v>
      </c>
    </row>
    <row r="27" spans="1:20" s="187" customFormat="1">
      <c r="A27" s="560"/>
      <c r="B27" s="192" t="s">
        <v>117</v>
      </c>
      <c r="C27" s="188">
        <f>C32+C38</f>
        <v>583408.93000000005</v>
      </c>
      <c r="D27" s="188">
        <f>D32+D38</f>
        <v>0</v>
      </c>
      <c r="E27" s="188" t="s">
        <v>115</v>
      </c>
      <c r="F27" s="188">
        <f>F32+F38</f>
        <v>218147.57</v>
      </c>
      <c r="G27" s="188">
        <f>G32+G38</f>
        <v>248072.58</v>
      </c>
      <c r="H27" s="189">
        <f>C27+F27-G27+I27-D27</f>
        <v>553483.92000000004</v>
      </c>
      <c r="I27" s="188">
        <f>I32+I38</f>
        <v>0</v>
      </c>
    </row>
    <row r="28" spans="1:20" s="187" customFormat="1">
      <c r="A28" s="560"/>
      <c r="B28" s="192" t="s">
        <v>118</v>
      </c>
      <c r="C28" s="188">
        <f>C33</f>
        <v>38758.9</v>
      </c>
      <c r="D28" s="188">
        <v>0</v>
      </c>
      <c r="E28" s="188" t="s">
        <v>115</v>
      </c>
      <c r="F28" s="188">
        <f>F33</f>
        <v>16.36</v>
      </c>
      <c r="G28" s="188">
        <f>G33</f>
        <v>21371.75</v>
      </c>
      <c r="H28" s="189">
        <f>C28+F28-G28+I28-D28</f>
        <v>17403.510000000002</v>
      </c>
      <c r="I28" s="188">
        <f>I33</f>
        <v>0</v>
      </c>
    </row>
    <row r="29" spans="1:20" s="187" customFormat="1" ht="30.75">
      <c r="A29" s="561" t="s">
        <v>35</v>
      </c>
      <c r="B29" s="190" t="s">
        <v>119</v>
      </c>
      <c r="C29" s="189">
        <f>SUM(C30:C33)</f>
        <v>560340176.78999996</v>
      </c>
      <c r="D29" s="189">
        <f>SUM(D30:D33)</f>
        <v>0</v>
      </c>
      <c r="E29" s="189">
        <v>2021667000</v>
      </c>
      <c r="F29" s="189">
        <f>SUM(F30:F33)</f>
        <v>2111234796.4399998</v>
      </c>
      <c r="G29" s="189">
        <f>SUM(G30:G33)</f>
        <v>2081971565.28</v>
      </c>
      <c r="H29" s="189">
        <f>SUM(H30:H33)</f>
        <v>589603407.94999993</v>
      </c>
      <c r="I29" s="189">
        <f>SUM(I30:I33)</f>
        <v>0</v>
      </c>
    </row>
    <row r="30" spans="1:20" s="187" customFormat="1">
      <c r="A30" s="561"/>
      <c r="B30" s="192" t="s">
        <v>114</v>
      </c>
      <c r="C30" s="189">
        <v>559630087.13999999</v>
      </c>
      <c r="D30" s="189">
        <v>0</v>
      </c>
      <c r="E30" s="189" t="s">
        <v>115</v>
      </c>
      <c r="F30" s="189">
        <v>2110990709.3</v>
      </c>
      <c r="G30" s="189">
        <v>2081693198.1300001</v>
      </c>
      <c r="H30" s="189">
        <f>C30+F30-G30+I30-D30</f>
        <v>588927598.30999994</v>
      </c>
      <c r="I30" s="189"/>
    </row>
    <row r="31" spans="1:20" s="187" customFormat="1">
      <c r="A31" s="561"/>
      <c r="B31" s="192" t="s">
        <v>116</v>
      </c>
      <c r="C31" s="189">
        <v>87927.35</v>
      </c>
      <c r="D31" s="189">
        <v>0</v>
      </c>
      <c r="E31" s="189" t="s">
        <v>115</v>
      </c>
      <c r="F31" s="189">
        <v>29797.35</v>
      </c>
      <c r="G31" s="189">
        <v>12792.12</v>
      </c>
      <c r="H31" s="189">
        <f>C31+F31-G31+I31-D31</f>
        <v>104932.58000000002</v>
      </c>
      <c r="I31" s="189">
        <v>0</v>
      </c>
    </row>
    <row r="32" spans="1:20" s="187" customFormat="1">
      <c r="A32" s="561"/>
      <c r="B32" s="192" t="s">
        <v>117</v>
      </c>
      <c r="C32" s="189">
        <v>583403.4</v>
      </c>
      <c r="D32" s="189">
        <v>0</v>
      </c>
      <c r="E32" s="189" t="s">
        <v>115</v>
      </c>
      <c r="F32" s="189">
        <v>214273.43</v>
      </c>
      <c r="G32" s="189">
        <v>244203.28</v>
      </c>
      <c r="H32" s="189">
        <f>C32+F32-G32+I32-D32</f>
        <v>553473.55000000005</v>
      </c>
      <c r="I32" s="189">
        <v>0</v>
      </c>
    </row>
    <row r="33" spans="1:9" s="187" customFormat="1">
      <c r="A33" s="561"/>
      <c r="B33" s="192" t="s">
        <v>118</v>
      </c>
      <c r="C33" s="189">
        <v>38758.9</v>
      </c>
      <c r="D33" s="189">
        <v>0</v>
      </c>
      <c r="E33" s="189" t="s">
        <v>115</v>
      </c>
      <c r="F33" s="189">
        <v>16.36</v>
      </c>
      <c r="G33" s="189">
        <v>21371.75</v>
      </c>
      <c r="H33" s="189">
        <f>C33+F33-G33+I33-D33</f>
        <v>17403.510000000002</v>
      </c>
      <c r="I33" s="189">
        <v>0</v>
      </c>
    </row>
    <row r="34" spans="1:9" s="191" customFormat="1">
      <c r="A34" s="186" t="s">
        <v>37</v>
      </c>
      <c r="B34" s="190" t="s">
        <v>38</v>
      </c>
      <c r="C34" s="189">
        <v>0</v>
      </c>
      <c r="D34" s="189">
        <v>0</v>
      </c>
      <c r="E34" s="189">
        <v>708016000</v>
      </c>
      <c r="F34" s="189">
        <v>708016000</v>
      </c>
      <c r="G34" s="189">
        <v>708016000</v>
      </c>
      <c r="H34" s="189">
        <f>C34+F34-G34+I34-D34</f>
        <v>0</v>
      </c>
      <c r="I34" s="189">
        <v>0</v>
      </c>
    </row>
    <row r="35" spans="1:9" s="191" customFormat="1" ht="30.75">
      <c r="A35" s="562" t="s">
        <v>120</v>
      </c>
      <c r="B35" s="495" t="s">
        <v>121</v>
      </c>
      <c r="C35" s="189">
        <f>SUM(C36:C38)</f>
        <v>559.13</v>
      </c>
      <c r="D35" s="189">
        <f>SUM(D36:D38)</f>
        <v>0</v>
      </c>
      <c r="E35" s="189" t="s">
        <v>115</v>
      </c>
      <c r="F35" s="189">
        <f>SUM(F36:F38)</f>
        <v>28906.739999999998</v>
      </c>
      <c r="G35" s="189">
        <f>SUM(G36:G38)</f>
        <v>29194.560000000001</v>
      </c>
      <c r="H35" s="189">
        <f>C35-D35+F35-G35+I35</f>
        <v>271.30999999999767</v>
      </c>
      <c r="I35" s="189">
        <f>SUM(I36:I38)</f>
        <v>0</v>
      </c>
    </row>
    <row r="36" spans="1:9" s="191" customFormat="1">
      <c r="A36" s="562"/>
      <c r="B36" s="192" t="s">
        <v>114</v>
      </c>
      <c r="C36" s="189">
        <v>420.04</v>
      </c>
      <c r="D36" s="189">
        <v>0</v>
      </c>
      <c r="E36" s="189" t="s">
        <v>115</v>
      </c>
      <c r="F36" s="189">
        <v>24388.03</v>
      </c>
      <c r="G36" s="189">
        <v>24547.13</v>
      </c>
      <c r="H36" s="189">
        <f>C36+F36-G36+I36-D36</f>
        <v>260.93999999999869</v>
      </c>
      <c r="I36" s="189">
        <v>0</v>
      </c>
    </row>
    <row r="37" spans="1:9" s="191" customFormat="1">
      <c r="A37" s="562"/>
      <c r="B37" s="192" t="s">
        <v>116</v>
      </c>
      <c r="C37" s="189">
        <v>133.56</v>
      </c>
      <c r="D37" s="189">
        <v>0</v>
      </c>
      <c r="E37" s="189" t="s">
        <v>115</v>
      </c>
      <c r="F37" s="189">
        <v>644.57000000000005</v>
      </c>
      <c r="G37" s="189">
        <v>778.13</v>
      </c>
      <c r="H37" s="189">
        <f>C37+F37-G37+I37-D37</f>
        <v>1.1368683772161603E-13</v>
      </c>
      <c r="I37" s="189">
        <v>0</v>
      </c>
    </row>
    <row r="38" spans="1:9" s="191" customFormat="1">
      <c r="A38" s="562"/>
      <c r="B38" s="192" t="s">
        <v>117</v>
      </c>
      <c r="C38" s="189">
        <v>5.53</v>
      </c>
      <c r="D38" s="189">
        <v>0</v>
      </c>
      <c r="E38" s="189" t="s">
        <v>115</v>
      </c>
      <c r="F38" s="189">
        <v>3874.14</v>
      </c>
      <c r="G38" s="189">
        <v>3869.3</v>
      </c>
      <c r="H38" s="189">
        <f>C38+F38-G38+I38-D38</f>
        <v>10.369999999999891</v>
      </c>
      <c r="I38" s="189">
        <v>0</v>
      </c>
    </row>
    <row r="39" spans="1:9" s="196" customFormat="1" ht="15">
      <c r="A39" s="193" t="s">
        <v>39</v>
      </c>
      <c r="B39" s="194" t="s">
        <v>549</v>
      </c>
      <c r="C39" s="195">
        <f>SUM(C40:C41)</f>
        <v>8146.73</v>
      </c>
      <c r="D39" s="195">
        <f>SUM(D40:D41)</f>
        <v>0</v>
      </c>
      <c r="E39" s="195">
        <v>124902000</v>
      </c>
      <c r="F39" s="195">
        <f>SUM(F40:F41)</f>
        <v>115591853.27</v>
      </c>
      <c r="G39" s="195">
        <f>SUM(G40:G41)</f>
        <v>115600000</v>
      </c>
      <c r="H39" s="195">
        <f>C39-D39+F39-G39+I39</f>
        <v>0</v>
      </c>
      <c r="I39" s="195">
        <f>SUM(I40:I41)</f>
        <v>0</v>
      </c>
    </row>
    <row r="40" spans="1:9" s="191" customFormat="1">
      <c r="A40" s="186" t="s">
        <v>122</v>
      </c>
      <c r="B40" s="190" t="s">
        <v>123</v>
      </c>
      <c r="C40" s="189">
        <v>8146.73</v>
      </c>
      <c r="D40" s="189">
        <v>0</v>
      </c>
      <c r="E40" s="189" t="s">
        <v>115</v>
      </c>
      <c r="F40" s="189">
        <f>115600000-C40</f>
        <v>115591853.27</v>
      </c>
      <c r="G40" s="189">
        <v>115600000</v>
      </c>
      <c r="H40" s="189">
        <f>C40+F40-G40+I40-D40</f>
        <v>0</v>
      </c>
      <c r="I40" s="189">
        <v>0</v>
      </c>
    </row>
    <row r="41" spans="1:9" s="191" customFormat="1">
      <c r="A41" s="186" t="s">
        <v>124</v>
      </c>
      <c r="B41" s="190" t="s">
        <v>125</v>
      </c>
      <c r="C41" s="189">
        <v>0</v>
      </c>
      <c r="D41" s="189">
        <v>0</v>
      </c>
      <c r="E41" s="189" t="s">
        <v>115</v>
      </c>
      <c r="F41" s="189">
        <v>0</v>
      </c>
      <c r="G41" s="189">
        <v>0</v>
      </c>
      <c r="H41" s="189">
        <f>C41+F41-G41+I41-D41</f>
        <v>0</v>
      </c>
      <c r="I41" s="189">
        <v>0</v>
      </c>
    </row>
    <row r="42" spans="1:9" s="196" customFormat="1" ht="15">
      <c r="A42" s="193" t="s">
        <v>41</v>
      </c>
      <c r="B42" s="194" t="s">
        <v>126</v>
      </c>
      <c r="C42" s="195">
        <f>SUM(C43:C48)+C53</f>
        <v>24236051.43</v>
      </c>
      <c r="D42" s="195">
        <f>SUM(D43:D48)+D53</f>
        <v>0</v>
      </c>
      <c r="E42" s="195">
        <v>24735000</v>
      </c>
      <c r="F42" s="195">
        <f>SUM(F43:F48)+F53</f>
        <v>24928767.649999999</v>
      </c>
      <c r="G42" s="195">
        <f>SUM(G43:G48)+G53</f>
        <v>24984110.580000002</v>
      </c>
      <c r="H42" s="195">
        <f>SUM(H43:H48)+H53</f>
        <v>24221311.810000002</v>
      </c>
      <c r="I42" s="195">
        <f>SUM(I43:I48)+I53</f>
        <v>40603.31</v>
      </c>
    </row>
    <row r="43" spans="1:9" s="191" customFormat="1" ht="30.75">
      <c r="A43" s="186" t="s">
        <v>127</v>
      </c>
      <c r="B43" s="190" t="s">
        <v>128</v>
      </c>
      <c r="C43" s="189">
        <v>0</v>
      </c>
      <c r="D43" s="189">
        <v>0</v>
      </c>
      <c r="E43" s="189">
        <v>510000</v>
      </c>
      <c r="F43" s="189">
        <v>264693.2</v>
      </c>
      <c r="G43" s="189">
        <v>264693.2</v>
      </c>
      <c r="H43" s="189">
        <f>C43+F43-G43+I43-D43</f>
        <v>0</v>
      </c>
      <c r="I43" s="189">
        <v>0</v>
      </c>
    </row>
    <row r="44" spans="1:9" s="196" customFormat="1" ht="30.75">
      <c r="A44" s="186" t="s">
        <v>129</v>
      </c>
      <c r="B44" s="190" t="s">
        <v>130</v>
      </c>
      <c r="C44" s="189">
        <v>0</v>
      </c>
      <c r="D44" s="189">
        <v>0</v>
      </c>
      <c r="E44" s="189" t="s">
        <v>115</v>
      </c>
      <c r="F44" s="189">
        <v>2435197.0499999998</v>
      </c>
      <c r="G44" s="189">
        <v>2435197.0499999998</v>
      </c>
      <c r="H44" s="189">
        <f>C44-D44+F44-G44+I44</f>
        <v>0</v>
      </c>
      <c r="I44" s="189">
        <v>0</v>
      </c>
    </row>
    <row r="45" spans="1:9" s="197" customFormat="1">
      <c r="A45" s="186" t="s">
        <v>131</v>
      </c>
      <c r="B45" s="190" t="s">
        <v>132</v>
      </c>
      <c r="C45" s="189">
        <v>0</v>
      </c>
      <c r="D45" s="189">
        <v>0</v>
      </c>
      <c r="E45" s="189" t="s">
        <v>115</v>
      </c>
      <c r="F45" s="189">
        <v>26975.48</v>
      </c>
      <c r="G45" s="189">
        <v>26975.48</v>
      </c>
      <c r="H45" s="189">
        <f t="shared" ref="H45:H50" si="0">C45-D45+F45-G45+I45</f>
        <v>0</v>
      </c>
      <c r="I45" s="189">
        <v>0</v>
      </c>
    </row>
    <row r="46" spans="1:9" s="197" customFormat="1">
      <c r="A46" s="186" t="s">
        <v>133</v>
      </c>
      <c r="B46" s="190" t="s">
        <v>134</v>
      </c>
      <c r="C46" s="189">
        <v>0</v>
      </c>
      <c r="D46" s="189">
        <v>0</v>
      </c>
      <c r="E46" s="189" t="s">
        <v>115</v>
      </c>
      <c r="F46" s="189">
        <v>45</v>
      </c>
      <c r="G46" s="189">
        <v>18</v>
      </c>
      <c r="H46" s="189">
        <f t="shared" si="0"/>
        <v>27</v>
      </c>
      <c r="I46" s="189">
        <v>0</v>
      </c>
    </row>
    <row r="47" spans="1:9" s="197" customFormat="1">
      <c r="A47" s="186" t="s">
        <v>135</v>
      </c>
      <c r="B47" s="190" t="s">
        <v>136</v>
      </c>
      <c r="C47" s="189">
        <v>0</v>
      </c>
      <c r="D47" s="189">
        <v>0</v>
      </c>
      <c r="E47" s="189" t="s">
        <v>115</v>
      </c>
      <c r="F47" s="189">
        <v>4263948.45</v>
      </c>
      <c r="G47" s="189">
        <v>4263948.45</v>
      </c>
      <c r="H47" s="189">
        <f>C47-D47+F47-G47+I47</f>
        <v>0</v>
      </c>
      <c r="I47" s="189">
        <v>0</v>
      </c>
    </row>
    <row r="48" spans="1:9" s="198" customFormat="1">
      <c r="A48" s="186" t="s">
        <v>137</v>
      </c>
      <c r="B48" s="190" t="s">
        <v>138</v>
      </c>
      <c r="C48" s="195">
        <f>SUM(C49:C50)</f>
        <v>1298956.6399999999</v>
      </c>
      <c r="D48" s="195">
        <f>SUM(D49:D50)</f>
        <v>0</v>
      </c>
      <c r="E48" s="195" t="s">
        <v>115</v>
      </c>
      <c r="F48" s="195">
        <f>SUM(F49:F50)</f>
        <v>13056316.859999999</v>
      </c>
      <c r="G48" s="195">
        <f>SUM(G49:G50)</f>
        <v>13563767.99</v>
      </c>
      <c r="H48" s="195">
        <f>SUM(H49:H50)</f>
        <v>791505.50999999978</v>
      </c>
      <c r="I48" s="195">
        <f>SUM(I49:I50)</f>
        <v>0</v>
      </c>
    </row>
    <row r="49" spans="1:9" s="197" customFormat="1">
      <c r="A49" s="199" t="s">
        <v>139</v>
      </c>
      <c r="B49" s="190" t="s">
        <v>118</v>
      </c>
      <c r="C49" s="189">
        <v>1298956.6399999999</v>
      </c>
      <c r="D49" s="189">
        <v>0</v>
      </c>
      <c r="E49" s="189" t="s">
        <v>115</v>
      </c>
      <c r="F49" s="189">
        <v>13056111.859999999</v>
      </c>
      <c r="G49" s="189">
        <v>13563562.99</v>
      </c>
      <c r="H49" s="189">
        <f t="shared" si="0"/>
        <v>791505.50999999978</v>
      </c>
      <c r="I49" s="189">
        <v>0</v>
      </c>
    </row>
    <row r="50" spans="1:9" s="191" customFormat="1">
      <c r="A50" s="563" t="s">
        <v>140</v>
      </c>
      <c r="B50" s="190" t="s">
        <v>141</v>
      </c>
      <c r="C50" s="189">
        <f>SUM(C51:C52)</f>
        <v>0</v>
      </c>
      <c r="D50" s="189">
        <f>SUM(D51:D52)</f>
        <v>0</v>
      </c>
      <c r="E50" s="189" t="s">
        <v>115</v>
      </c>
      <c r="F50" s="189">
        <f>SUM(F51:F52)</f>
        <v>205</v>
      </c>
      <c r="G50" s="189">
        <f>SUM(G51:G52)</f>
        <v>205</v>
      </c>
      <c r="H50" s="189">
        <f t="shared" si="0"/>
        <v>0</v>
      </c>
      <c r="I50" s="189">
        <v>0</v>
      </c>
    </row>
    <row r="51" spans="1:9" s="191" customFormat="1">
      <c r="A51" s="564"/>
      <c r="B51" s="190" t="s">
        <v>142</v>
      </c>
      <c r="C51" s="189">
        <v>0</v>
      </c>
      <c r="D51" s="189">
        <v>0</v>
      </c>
      <c r="E51" s="189" t="s">
        <v>115</v>
      </c>
      <c r="F51" s="189">
        <v>0</v>
      </c>
      <c r="G51" s="189">
        <v>0</v>
      </c>
      <c r="H51" s="189">
        <f>C51+F51-G51+I51-D51</f>
        <v>0</v>
      </c>
      <c r="I51" s="189">
        <v>0</v>
      </c>
    </row>
    <row r="52" spans="1:9" s="191" customFormat="1">
      <c r="A52" s="565"/>
      <c r="B52" s="190" t="s">
        <v>143</v>
      </c>
      <c r="C52" s="189">
        <v>0</v>
      </c>
      <c r="D52" s="189">
        <v>0</v>
      </c>
      <c r="E52" s="189" t="s">
        <v>115</v>
      </c>
      <c r="F52" s="189">
        <f>[1]TLK!G33</f>
        <v>205</v>
      </c>
      <c r="G52" s="189">
        <v>205</v>
      </c>
      <c r="H52" s="189">
        <f>C52+F52-G52+I52-D52</f>
        <v>0</v>
      </c>
      <c r="I52" s="189">
        <v>0</v>
      </c>
    </row>
    <row r="53" spans="1:9" s="197" customFormat="1">
      <c r="A53" s="566" t="s">
        <v>144</v>
      </c>
      <c r="B53" s="200" t="s">
        <v>145</v>
      </c>
      <c r="C53" s="189">
        <f>SUM(C54:C57)</f>
        <v>22937094.789999999</v>
      </c>
      <c r="D53" s="189">
        <f>SUM(D54:D57)</f>
        <v>0</v>
      </c>
      <c r="E53" s="189" t="s">
        <v>115</v>
      </c>
      <c r="F53" s="189">
        <f>SUM(F54:F57)</f>
        <v>4881591.6100000003</v>
      </c>
      <c r="G53" s="189">
        <f>SUM(G54:G57)</f>
        <v>4429510.41</v>
      </c>
      <c r="H53" s="189">
        <f>SUM(H54:H57)</f>
        <v>23429779.300000001</v>
      </c>
      <c r="I53" s="189">
        <f>SUM(I54:I57)</f>
        <v>40603.31</v>
      </c>
    </row>
    <row r="54" spans="1:9" s="197" customFormat="1">
      <c r="A54" s="567"/>
      <c r="B54" s="200" t="s">
        <v>146</v>
      </c>
      <c r="C54" s="189">
        <v>56920.47</v>
      </c>
      <c r="D54" s="189">
        <v>0</v>
      </c>
      <c r="E54" s="189"/>
      <c r="F54" s="189">
        <v>212641.97</v>
      </c>
      <c r="G54" s="189">
        <f>205882.01-G55</f>
        <v>205513.40000000002</v>
      </c>
      <c r="H54" s="189">
        <f>C54+F54-G54+I54-D54</f>
        <v>104652.34999999998</v>
      </c>
      <c r="I54" s="189">
        <v>40603.31</v>
      </c>
    </row>
    <row r="55" spans="1:9" s="197" customFormat="1">
      <c r="A55" s="567"/>
      <c r="B55" s="201" t="s">
        <v>147</v>
      </c>
      <c r="C55" s="189">
        <v>0</v>
      </c>
      <c r="D55" s="189">
        <v>0</v>
      </c>
      <c r="E55" s="189" t="s">
        <v>115</v>
      </c>
      <c r="F55" s="189">
        <f>[1]TLK!G34</f>
        <v>368.61</v>
      </c>
      <c r="G55" s="189">
        <v>368.61</v>
      </c>
      <c r="H55" s="189">
        <f>C55+F55-G55+I55-D55</f>
        <v>0</v>
      </c>
      <c r="I55" s="189">
        <v>0</v>
      </c>
    </row>
    <row r="56" spans="1:9" s="197" customFormat="1" ht="30.75">
      <c r="A56" s="567"/>
      <c r="B56" s="201" t="s">
        <v>148</v>
      </c>
      <c r="C56" s="202">
        <v>8307547.1799999997</v>
      </c>
      <c r="D56" s="202">
        <v>0</v>
      </c>
      <c r="E56" s="202" t="s">
        <v>115</v>
      </c>
      <c r="F56" s="202">
        <v>2745416.99</v>
      </c>
      <c r="G56" s="202">
        <v>2360243.61</v>
      </c>
      <c r="H56" s="189">
        <f>C56+F56-G56+I56-D56</f>
        <v>8692720.5600000005</v>
      </c>
      <c r="I56" s="189">
        <v>0</v>
      </c>
    </row>
    <row r="57" spans="1:9" s="196" customFormat="1" ht="31.15" thickBot="1">
      <c r="A57" s="568"/>
      <c r="B57" s="201" t="s">
        <v>149</v>
      </c>
      <c r="C57" s="202">
        <v>14572627.140000001</v>
      </c>
      <c r="D57" s="202">
        <v>0</v>
      </c>
      <c r="E57" s="202" t="s">
        <v>115</v>
      </c>
      <c r="F57" s="202">
        <v>1923164.04</v>
      </c>
      <c r="G57" s="202">
        <v>1863384.79</v>
      </c>
      <c r="H57" s="202">
        <f>C57+F57-G57+I57-D57</f>
        <v>14632406.390000001</v>
      </c>
      <c r="I57" s="202">
        <v>0</v>
      </c>
    </row>
    <row r="58" spans="1:9" s="204" customFormat="1" thickBot="1">
      <c r="A58" s="556" t="s">
        <v>150</v>
      </c>
      <c r="B58" s="557"/>
      <c r="C58" s="203">
        <f t="shared" ref="C58:I58" si="1">C24+C39+C42</f>
        <v>584584934.0799998</v>
      </c>
      <c r="D58" s="203">
        <f t="shared" si="1"/>
        <v>0</v>
      </c>
      <c r="E58" s="203">
        <f t="shared" si="1"/>
        <v>2879320000</v>
      </c>
      <c r="F58" s="203">
        <f>F24+F39+F42</f>
        <v>2959800324.1000009</v>
      </c>
      <c r="G58" s="203">
        <f t="shared" si="1"/>
        <v>2930600870.4200001</v>
      </c>
      <c r="H58" s="203">
        <f>H24+H39+H42</f>
        <v>613824991.07000017</v>
      </c>
      <c r="I58" s="442">
        <f t="shared" si="1"/>
        <v>40603.31</v>
      </c>
    </row>
    <row r="59" spans="1:9">
      <c r="A59" s="176"/>
      <c r="C59" s="205"/>
      <c r="D59" s="205"/>
      <c r="E59" s="206"/>
      <c r="F59" s="205"/>
      <c r="G59" s="205"/>
      <c r="H59" s="205"/>
      <c r="I59" s="205"/>
    </row>
    <row r="60" spans="1:9" s="191" customFormat="1">
      <c r="A60" s="554" t="s">
        <v>88</v>
      </c>
      <c r="B60" s="554"/>
      <c r="C60" s="207"/>
      <c r="D60" s="554"/>
      <c r="E60" s="554"/>
      <c r="F60" s="178"/>
      <c r="H60" s="554" t="s">
        <v>89</v>
      </c>
      <c r="I60" s="554"/>
    </row>
    <row r="61" spans="1:9" s="196" customFormat="1">
      <c r="A61" s="208"/>
      <c r="B61" s="207"/>
      <c r="C61" s="178"/>
      <c r="D61" s="554" t="s">
        <v>90</v>
      </c>
      <c r="E61" s="554"/>
      <c r="F61" s="178"/>
      <c r="H61" s="178"/>
      <c r="I61" s="178"/>
    </row>
    <row r="62" spans="1:9" s="196" customFormat="1">
      <c r="A62" s="208"/>
      <c r="B62" s="207"/>
      <c r="C62" s="178"/>
      <c r="D62" s="178"/>
      <c r="E62" s="178"/>
      <c r="F62" s="178"/>
      <c r="H62" s="178"/>
      <c r="I62" s="178"/>
    </row>
    <row r="63" spans="1:9" s="196" customFormat="1">
      <c r="A63" s="554" t="s">
        <v>92</v>
      </c>
      <c r="B63" s="554"/>
      <c r="C63" s="178"/>
      <c r="D63" s="554"/>
      <c r="E63" s="554"/>
      <c r="F63" s="178"/>
      <c r="H63" s="554" t="s">
        <v>93</v>
      </c>
      <c r="I63" s="554"/>
    </row>
    <row r="64" spans="1:9" s="207" customFormat="1">
      <c r="A64" s="208"/>
      <c r="C64" s="178"/>
      <c r="D64" s="554" t="s">
        <v>90</v>
      </c>
      <c r="E64" s="554"/>
      <c r="F64" s="178"/>
      <c r="G64" s="178"/>
      <c r="H64" s="178"/>
      <c r="I64" s="178"/>
    </row>
    <row r="65" spans="1:9" s="207" customFormat="1">
      <c r="A65" s="208"/>
      <c r="C65" s="178"/>
      <c r="D65" s="178"/>
      <c r="E65" s="178"/>
      <c r="F65" s="178"/>
      <c r="G65" s="178"/>
      <c r="H65" s="178"/>
      <c r="I65" s="178"/>
    </row>
    <row r="68" spans="1:9">
      <c r="H68" s="209"/>
      <c r="I68" s="209"/>
    </row>
    <row r="69" spans="1:9">
      <c r="H69" s="210"/>
      <c r="I69" s="210"/>
    </row>
    <row r="102" spans="5:5" s="176" customFormat="1">
      <c r="E102" s="207"/>
    </row>
  </sheetData>
  <mergeCells count="41">
    <mergeCell ref="J6:K6"/>
    <mergeCell ref="J7:K7"/>
    <mergeCell ref="J8:K8"/>
    <mergeCell ref="A10:I10"/>
    <mergeCell ref="A12:I12"/>
    <mergeCell ref="H6:I6"/>
    <mergeCell ref="H7:I7"/>
    <mergeCell ref="H8:I8"/>
    <mergeCell ref="H9:I9"/>
    <mergeCell ref="J1:K1"/>
    <mergeCell ref="J2:K2"/>
    <mergeCell ref="J3:K3"/>
    <mergeCell ref="J4:K4"/>
    <mergeCell ref="J5:K5"/>
    <mergeCell ref="A14:I14"/>
    <mergeCell ref="A16:I16"/>
    <mergeCell ref="A20:C20"/>
    <mergeCell ref="H1:I1"/>
    <mergeCell ref="H2:I2"/>
    <mergeCell ref="H3:I3"/>
    <mergeCell ref="H4:I4"/>
    <mergeCell ref="H5:I5"/>
    <mergeCell ref="C21:D21"/>
    <mergeCell ref="E21:G21"/>
    <mergeCell ref="H21:I21"/>
    <mergeCell ref="A58:B58"/>
    <mergeCell ref="A17:I17"/>
    <mergeCell ref="A21:B21"/>
    <mergeCell ref="A24:A28"/>
    <mergeCell ref="A29:A33"/>
    <mergeCell ref="A35:A38"/>
    <mergeCell ref="A50:A52"/>
    <mergeCell ref="A53:A57"/>
    <mergeCell ref="D64:E64"/>
    <mergeCell ref="D60:E60"/>
    <mergeCell ref="H60:I60"/>
    <mergeCell ref="D61:E61"/>
    <mergeCell ref="A63:B63"/>
    <mergeCell ref="D63:E63"/>
    <mergeCell ref="H63:I63"/>
    <mergeCell ref="A60:B60"/>
  </mergeCells>
  <pageMargins left="0.51181102362204722" right="0.31496062992125984" top="0.55118110236220474" bottom="0.15748031496062992" header="0.31496062992125984" footer="0.31496062992125984"/>
  <pageSetup paperSize="9" scale="44" firstPageNumber="4" orientation="landscape" useFirstPageNumber="1" r:id="rId1"/>
  <headerFooter>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9E58E-D38E-45C2-A530-5F1446E2F0F3}">
  <dimension ref="A1:AA68"/>
  <sheetViews>
    <sheetView topLeftCell="A25" zoomScale="76" zoomScaleNormal="76" zoomScaleSheetLayoutView="100" workbookViewId="0">
      <selection activeCell="P20" sqref="P20"/>
    </sheetView>
  </sheetViews>
  <sheetFormatPr defaultColWidth="7.53125" defaultRowHeight="15.75"/>
  <cols>
    <col min="1" max="1" width="12" style="8" customWidth="1"/>
    <col min="2" max="2" width="37.46484375" style="8" customWidth="1"/>
    <col min="3" max="3" width="14.86328125" style="8" bestFit="1" customWidth="1"/>
    <col min="4" max="4" width="17.33203125" style="8" bestFit="1" customWidth="1"/>
    <col min="5" max="5" width="19.46484375" style="8" customWidth="1"/>
    <col min="6" max="6" width="19.6640625" style="8" customWidth="1"/>
    <col min="7" max="7" width="15.46484375" style="8" customWidth="1"/>
    <col min="8" max="8" width="17.33203125" style="8" customWidth="1"/>
    <col min="9" max="9" width="20.6640625" style="8" customWidth="1"/>
    <col min="10" max="10" width="20.53125" style="8" customWidth="1"/>
    <col min="11" max="11" width="15.86328125" style="8" customWidth="1"/>
    <col min="12" max="12" width="20" style="8" customWidth="1"/>
    <col min="13" max="13" width="19.6640625" style="8" customWidth="1"/>
    <col min="14" max="14" width="16.33203125" style="8" customWidth="1"/>
    <col min="15" max="15" width="18.33203125" style="8" customWidth="1"/>
    <col min="16" max="16" width="19.33203125" style="8" customWidth="1"/>
    <col min="17" max="17" width="14.46484375" style="8" customWidth="1"/>
    <col min="18" max="18" width="16.6640625" style="8" customWidth="1"/>
    <col min="19" max="19" width="0.6640625" style="8" hidden="1" customWidth="1"/>
    <col min="20" max="20" width="0.33203125" style="8" hidden="1" customWidth="1"/>
    <col min="21" max="23" width="7.53125" style="8" hidden="1" customWidth="1"/>
    <col min="24" max="24" width="12.1328125" style="8" hidden="1" customWidth="1"/>
    <col min="25" max="27" width="7.53125" style="8" hidden="1" customWidth="1"/>
    <col min="28" max="28" width="7.53125" style="8"/>
    <col min="29" max="29" width="19.1328125" style="8" customWidth="1"/>
    <col min="30" max="16384" width="7.53125" style="8"/>
  </cols>
  <sheetData>
    <row r="1" spans="1:18">
      <c r="M1" s="8" t="s">
        <v>151</v>
      </c>
    </row>
    <row r="2" spans="1:18">
      <c r="M2" s="8" t="s">
        <v>152</v>
      </c>
    </row>
    <row r="3" spans="1:18">
      <c r="M3" s="8" t="s">
        <v>153</v>
      </c>
    </row>
    <row r="4" spans="1:18">
      <c r="M4" s="8" t="s">
        <v>14</v>
      </c>
    </row>
    <row r="7" spans="1:18">
      <c r="A7" s="576"/>
      <c r="B7" s="577"/>
      <c r="C7" s="577"/>
      <c r="D7" s="577"/>
      <c r="E7" s="577"/>
      <c r="F7" s="577"/>
      <c r="G7" s="577"/>
      <c r="H7" s="577"/>
      <c r="I7" s="577"/>
      <c r="J7" s="577"/>
      <c r="K7" s="577"/>
      <c r="L7" s="577"/>
      <c r="M7" s="577"/>
      <c r="N7" s="577"/>
      <c r="O7" s="577"/>
      <c r="P7" s="577"/>
      <c r="Q7" s="577"/>
      <c r="R7" s="577"/>
    </row>
    <row r="8" spans="1:18">
      <c r="A8" s="580" t="s">
        <v>0</v>
      </c>
      <c r="B8" s="580"/>
      <c r="C8" s="580"/>
      <c r="D8" s="580"/>
      <c r="E8" s="580"/>
      <c r="F8" s="580"/>
      <c r="G8" s="580"/>
      <c r="H8" s="580"/>
      <c r="I8" s="580"/>
      <c r="J8" s="580"/>
      <c r="K8" s="580"/>
      <c r="L8" s="580"/>
      <c r="M8" s="580"/>
      <c r="N8" s="580"/>
      <c r="O8" s="580"/>
      <c r="P8" s="580"/>
      <c r="Q8" s="580"/>
      <c r="R8" s="580"/>
    </row>
    <row r="10" spans="1:18">
      <c r="A10" s="578" t="s">
        <v>154</v>
      </c>
      <c r="B10" s="578"/>
      <c r="C10" s="578"/>
      <c r="D10" s="578"/>
      <c r="E10" s="578"/>
      <c r="F10" s="578"/>
      <c r="G10" s="578"/>
      <c r="H10" s="578"/>
      <c r="I10" s="578"/>
      <c r="J10" s="578"/>
      <c r="K10" s="578"/>
      <c r="L10" s="578"/>
      <c r="M10" s="578"/>
      <c r="N10" s="578"/>
      <c r="O10" s="578"/>
      <c r="P10" s="578"/>
      <c r="Q10" s="578"/>
      <c r="R10" s="578"/>
    </row>
    <row r="11" spans="1:18">
      <c r="A11" s="579" t="s">
        <v>155</v>
      </c>
      <c r="B11" s="579"/>
      <c r="C11" s="579"/>
      <c r="D11" s="579"/>
      <c r="E11" s="579"/>
      <c r="F11" s="579"/>
      <c r="G11" s="579"/>
      <c r="H11" s="579"/>
      <c r="I11" s="579"/>
      <c r="J11" s="579"/>
      <c r="K11" s="579"/>
      <c r="L11" s="579"/>
      <c r="M11" s="579"/>
      <c r="N11" s="579"/>
      <c r="O11" s="579"/>
      <c r="P11" s="579"/>
      <c r="Q11" s="579"/>
      <c r="R11" s="579"/>
    </row>
    <row r="12" spans="1:18">
      <c r="A12" s="579" t="s">
        <v>17</v>
      </c>
      <c r="B12" s="579"/>
      <c r="C12" s="579"/>
      <c r="D12" s="579"/>
      <c r="E12" s="579"/>
      <c r="F12" s="579"/>
      <c r="G12" s="579"/>
      <c r="H12" s="579"/>
      <c r="I12" s="579"/>
      <c r="J12" s="579"/>
      <c r="K12" s="579"/>
      <c r="L12" s="579"/>
      <c r="M12" s="579"/>
      <c r="N12" s="579"/>
      <c r="O12" s="579"/>
      <c r="P12" s="579"/>
      <c r="Q12" s="579"/>
      <c r="R12" s="579"/>
    </row>
    <row r="13" spans="1:18">
      <c r="A13" s="579"/>
      <c r="B13" s="579"/>
      <c r="C13" s="579"/>
      <c r="D13" s="579"/>
      <c r="E13" s="579"/>
      <c r="F13" s="579"/>
      <c r="G13" s="579"/>
      <c r="H13" s="579"/>
      <c r="I13" s="579"/>
      <c r="J13" s="579"/>
      <c r="K13" s="579"/>
      <c r="L13" s="579"/>
      <c r="M13" s="579"/>
      <c r="N13" s="579"/>
      <c r="O13" s="579"/>
      <c r="P13" s="579"/>
      <c r="Q13" s="579"/>
      <c r="R13" s="579"/>
    </row>
    <row r="14" spans="1:18">
      <c r="A14" s="579" t="s">
        <v>3</v>
      </c>
      <c r="B14" s="579"/>
      <c r="C14" s="579"/>
      <c r="D14" s="579"/>
      <c r="E14" s="579"/>
      <c r="F14" s="579"/>
      <c r="G14" s="579"/>
      <c r="H14" s="579"/>
      <c r="I14" s="579"/>
      <c r="J14" s="579"/>
      <c r="K14" s="579"/>
      <c r="L14" s="579"/>
      <c r="M14" s="579"/>
      <c r="N14" s="579"/>
      <c r="O14" s="579"/>
      <c r="P14" s="579"/>
      <c r="Q14" s="579"/>
      <c r="R14" s="579"/>
    </row>
    <row r="15" spans="1:18" ht="17" customHeight="1">
      <c r="A15" s="583"/>
      <c r="B15" s="583"/>
      <c r="C15" s="583"/>
      <c r="D15" s="583"/>
      <c r="E15" s="583"/>
      <c r="F15" s="583"/>
      <c r="G15" s="583"/>
      <c r="H15" s="583"/>
      <c r="I15" s="583"/>
      <c r="J15" s="583"/>
      <c r="K15" s="583"/>
      <c r="L15" s="583"/>
      <c r="M15" s="583"/>
      <c r="N15" s="583"/>
      <c r="O15" s="583"/>
      <c r="P15" s="583"/>
      <c r="Q15" s="583"/>
      <c r="R15" s="583"/>
    </row>
    <row r="16" spans="1:18" ht="24" customHeight="1">
      <c r="A16" s="581" t="s">
        <v>156</v>
      </c>
      <c r="B16" s="581"/>
      <c r="C16" s="211"/>
      <c r="D16" s="211"/>
      <c r="R16" s="166" t="s">
        <v>157</v>
      </c>
    </row>
    <row r="17" spans="1:19" s="212" customFormat="1" ht="42.6" customHeight="1">
      <c r="A17" s="582" t="s">
        <v>158</v>
      </c>
      <c r="B17" s="582"/>
      <c r="C17" s="582" t="s">
        <v>103</v>
      </c>
      <c r="D17" s="582"/>
      <c r="E17" s="582" t="s">
        <v>159</v>
      </c>
      <c r="F17" s="582" t="s">
        <v>160</v>
      </c>
      <c r="G17" s="582"/>
      <c r="H17" s="582"/>
      <c r="I17" s="582" t="s">
        <v>161</v>
      </c>
      <c r="J17" s="582" t="s">
        <v>162</v>
      </c>
      <c r="K17" s="589"/>
      <c r="L17" s="582" t="s">
        <v>163</v>
      </c>
      <c r="M17" s="584" t="s">
        <v>160</v>
      </c>
      <c r="N17" s="585"/>
      <c r="O17" s="586"/>
      <c r="P17" s="587" t="s">
        <v>164</v>
      </c>
      <c r="Q17" s="582" t="s">
        <v>105</v>
      </c>
      <c r="R17" s="582"/>
    </row>
    <row r="18" spans="1:19" s="212" customFormat="1" ht="94.25" customHeight="1">
      <c r="A18" s="168" t="s">
        <v>22</v>
      </c>
      <c r="B18" s="170" t="s">
        <v>107</v>
      </c>
      <c r="C18" s="168" t="s">
        <v>165</v>
      </c>
      <c r="D18" s="168" t="s">
        <v>166</v>
      </c>
      <c r="E18" s="582"/>
      <c r="F18" s="168" t="s">
        <v>167</v>
      </c>
      <c r="G18" s="168" t="s">
        <v>168</v>
      </c>
      <c r="H18" s="168" t="s">
        <v>169</v>
      </c>
      <c r="I18" s="582"/>
      <c r="J18" s="169" t="s">
        <v>170</v>
      </c>
      <c r="K18" s="169" t="s">
        <v>171</v>
      </c>
      <c r="L18" s="582"/>
      <c r="M18" s="168" t="s">
        <v>172</v>
      </c>
      <c r="N18" s="168" t="s">
        <v>173</v>
      </c>
      <c r="O18" s="168" t="s">
        <v>171</v>
      </c>
      <c r="P18" s="588"/>
      <c r="Q18" s="168" t="s">
        <v>165</v>
      </c>
      <c r="R18" s="168" t="s">
        <v>166</v>
      </c>
    </row>
    <row r="19" spans="1:19" s="215" customFormat="1" ht="15.6" customHeight="1" thickBot="1">
      <c r="A19" s="213">
        <v>1</v>
      </c>
      <c r="B19" s="214">
        <v>2</v>
      </c>
      <c r="C19" s="213">
        <v>3</v>
      </c>
      <c r="D19" s="213">
        <v>4</v>
      </c>
      <c r="E19" s="213">
        <v>5</v>
      </c>
      <c r="F19" s="213">
        <v>6</v>
      </c>
      <c r="G19" s="213">
        <v>7</v>
      </c>
      <c r="H19" s="213">
        <v>8</v>
      </c>
      <c r="I19" s="213">
        <v>9</v>
      </c>
      <c r="J19" s="213">
        <v>10</v>
      </c>
      <c r="K19" s="213">
        <v>11</v>
      </c>
      <c r="L19" s="213">
        <v>12</v>
      </c>
      <c r="M19" s="213">
        <v>13</v>
      </c>
      <c r="N19" s="213">
        <v>14</v>
      </c>
      <c r="O19" s="213">
        <v>15</v>
      </c>
      <c r="P19" s="213">
        <v>16</v>
      </c>
      <c r="Q19" s="213">
        <v>17</v>
      </c>
      <c r="R19" s="213">
        <v>18</v>
      </c>
    </row>
    <row r="20" spans="1:19" ht="35.25" customHeight="1" thickBot="1">
      <c r="A20" s="592" t="s">
        <v>554</v>
      </c>
      <c r="B20" s="593"/>
      <c r="C20" s="216">
        <f t="shared" ref="C20:R20" si="0">SUM(C21+C24+C30+C50+C51+C52)</f>
        <v>2465337.4900000002</v>
      </c>
      <c r="D20" s="216">
        <f t="shared" si="0"/>
        <v>280790914.9199999</v>
      </c>
      <c r="E20" s="216">
        <f t="shared" si="0"/>
        <v>3037025882</v>
      </c>
      <c r="F20" s="216">
        <f t="shared" si="0"/>
        <v>2986519227</v>
      </c>
      <c r="G20" s="216">
        <f t="shared" si="0"/>
        <v>0</v>
      </c>
      <c r="H20" s="216">
        <f t="shared" si="0"/>
        <v>50506655</v>
      </c>
      <c r="I20" s="216">
        <f t="shared" si="0"/>
        <v>2973718015.7600002</v>
      </c>
      <c r="J20" s="216">
        <f t="shared" si="0"/>
        <v>2847050784.23</v>
      </c>
      <c r="K20" s="216">
        <f t="shared" si="0"/>
        <v>78043330.930000022</v>
      </c>
      <c r="L20" s="216">
        <f t="shared" si="0"/>
        <v>2923696454.73</v>
      </c>
      <c r="M20" s="216">
        <f t="shared" si="0"/>
        <v>2795146483.21</v>
      </c>
      <c r="N20" s="216">
        <f t="shared" si="0"/>
        <v>50506640.590000004</v>
      </c>
      <c r="O20" s="216">
        <f t="shared" si="0"/>
        <v>78043330.930000022</v>
      </c>
      <c r="P20" s="216">
        <f t="shared" si="0"/>
        <v>2845653123.8000002</v>
      </c>
      <c r="Q20" s="216">
        <f t="shared" si="0"/>
        <v>3208244.26</v>
      </c>
      <c r="R20" s="488">
        <f t="shared" si="0"/>
        <v>331555382.72000003</v>
      </c>
      <c r="S20" s="217"/>
    </row>
    <row r="21" spans="1:19" s="221" customFormat="1" ht="51" customHeight="1">
      <c r="A21" s="596" t="s">
        <v>174</v>
      </c>
      <c r="B21" s="487" t="s">
        <v>175</v>
      </c>
      <c r="C21" s="219">
        <f>+C22</f>
        <v>0</v>
      </c>
      <c r="D21" s="219">
        <f t="shared" ref="D21:R21" si="1">+D22</f>
        <v>233888811.71999988</v>
      </c>
      <c r="E21" s="219">
        <f>+E22+E23</f>
        <v>2148434582</v>
      </c>
      <c r="F21" s="219">
        <f>+F22+F23</f>
        <v>2097927927</v>
      </c>
      <c r="G21" s="219">
        <f t="shared" si="1"/>
        <v>0</v>
      </c>
      <c r="H21" s="219">
        <f t="shared" si="1"/>
        <v>50506655</v>
      </c>
      <c r="I21" s="219">
        <f t="shared" si="1"/>
        <v>2068038206.6400001</v>
      </c>
      <c r="J21" s="219">
        <f t="shared" si="1"/>
        <v>2079856720.4300001</v>
      </c>
      <c r="K21" s="219">
        <f t="shared" si="1"/>
        <v>507204.68</v>
      </c>
      <c r="L21" s="219">
        <f t="shared" si="1"/>
        <v>2080363925.1100001</v>
      </c>
      <c r="M21" s="219">
        <f t="shared" si="1"/>
        <v>2029350079.8400002</v>
      </c>
      <c r="N21" s="219">
        <f t="shared" si="1"/>
        <v>50506640.590000004</v>
      </c>
      <c r="O21" s="219">
        <f t="shared" si="1"/>
        <v>507204.68</v>
      </c>
      <c r="P21" s="219">
        <f t="shared" si="1"/>
        <v>2079856720.4300001</v>
      </c>
      <c r="Q21" s="219">
        <f t="shared" si="1"/>
        <v>0</v>
      </c>
      <c r="R21" s="219">
        <f t="shared" si="1"/>
        <v>221563093.25</v>
      </c>
      <c r="S21" s="220"/>
    </row>
    <row r="22" spans="1:19" s="221" customFormat="1" ht="51" customHeight="1">
      <c r="A22" s="596"/>
      <c r="B22" s="222" t="s">
        <v>176</v>
      </c>
      <c r="C22" s="223">
        <v>0</v>
      </c>
      <c r="D22" s="223">
        <v>233888811.71999988</v>
      </c>
      <c r="E22" s="223">
        <f>SUM(F22:H22)</f>
        <v>2141998662</v>
      </c>
      <c r="F22" s="223">
        <v>2091492007</v>
      </c>
      <c r="G22" s="223">
        <v>0</v>
      </c>
      <c r="H22" s="223">
        <v>50506655</v>
      </c>
      <c r="I22" s="223">
        <v>2068038206.6400001</v>
      </c>
      <c r="J22" s="223">
        <v>2079856720.4300001</v>
      </c>
      <c r="K22" s="223">
        <v>507204.68</v>
      </c>
      <c r="L22" s="223">
        <f>SUM(M22:O22)</f>
        <v>2080363925.1100001</v>
      </c>
      <c r="M22" s="223">
        <v>2029350079.8400002</v>
      </c>
      <c r="N22" s="223">
        <v>50506640.590000004</v>
      </c>
      <c r="O22" s="223">
        <v>507204.68</v>
      </c>
      <c r="P22" s="223">
        <f>+L22-O22</f>
        <v>2079856720.4300001</v>
      </c>
      <c r="Q22" s="223">
        <v>0</v>
      </c>
      <c r="R22" s="223">
        <f>+D22-C22+I22-L22+Q22</f>
        <v>221563093.25</v>
      </c>
      <c r="S22" s="220"/>
    </row>
    <row r="23" spans="1:19" ht="47.25">
      <c r="A23" s="597"/>
      <c r="B23" s="222" t="s">
        <v>177</v>
      </c>
      <c r="C23" s="224" t="s">
        <v>115</v>
      </c>
      <c r="D23" s="224" t="s">
        <v>115</v>
      </c>
      <c r="E23" s="223">
        <f>SUM(F23:H23)</f>
        <v>6435920</v>
      </c>
      <c r="F23" s="158">
        <v>6435920</v>
      </c>
      <c r="G23" s="224" t="s">
        <v>115</v>
      </c>
      <c r="H23" s="224" t="s">
        <v>115</v>
      </c>
      <c r="I23" s="224" t="s">
        <v>115</v>
      </c>
      <c r="J23" s="224" t="s">
        <v>115</v>
      </c>
      <c r="K23" s="224" t="s">
        <v>115</v>
      </c>
      <c r="L23" s="224" t="s">
        <v>115</v>
      </c>
      <c r="M23" s="224" t="s">
        <v>115</v>
      </c>
      <c r="N23" s="224" t="s">
        <v>115</v>
      </c>
      <c r="O23" s="224" t="s">
        <v>115</v>
      </c>
      <c r="P23" s="224" t="s">
        <v>115</v>
      </c>
      <c r="Q23" s="224" t="s">
        <v>115</v>
      </c>
      <c r="R23" s="224" t="s">
        <v>115</v>
      </c>
      <c r="S23" s="220"/>
    </row>
    <row r="24" spans="1:19" ht="110.25">
      <c r="A24" s="225" t="s">
        <v>39</v>
      </c>
      <c r="B24" s="218" t="s">
        <v>178</v>
      </c>
      <c r="C24" s="159">
        <f t="shared" ref="C24:P24" si="2">SUM(C25+C26+C27+C28+C29)</f>
        <v>5284.6</v>
      </c>
      <c r="D24" s="159">
        <f t="shared" si="2"/>
        <v>25138464.960000049</v>
      </c>
      <c r="E24" s="159">
        <f t="shared" si="2"/>
        <v>536303000</v>
      </c>
      <c r="F24" s="159">
        <f t="shared" si="2"/>
        <v>536303000</v>
      </c>
      <c r="G24" s="159">
        <f t="shared" si="2"/>
        <v>0</v>
      </c>
      <c r="H24" s="159">
        <f t="shared" si="2"/>
        <v>0</v>
      </c>
      <c r="I24" s="159">
        <f t="shared" si="2"/>
        <v>596505645.9799999</v>
      </c>
      <c r="J24" s="159">
        <f t="shared" si="2"/>
        <v>474272069.70999992</v>
      </c>
      <c r="K24" s="159">
        <f t="shared" si="2"/>
        <v>77282452.660000011</v>
      </c>
      <c r="L24" s="159">
        <f t="shared" si="2"/>
        <v>551631626.13</v>
      </c>
      <c r="M24" s="159">
        <f t="shared" si="2"/>
        <v>474349173.46999997</v>
      </c>
      <c r="N24" s="159">
        <f t="shared" si="2"/>
        <v>0</v>
      </c>
      <c r="O24" s="159">
        <f t="shared" si="2"/>
        <v>77282452.660000011</v>
      </c>
      <c r="P24" s="159">
        <f t="shared" si="2"/>
        <v>474349173.46999997</v>
      </c>
      <c r="Q24" s="159">
        <v>0</v>
      </c>
      <c r="R24" s="159">
        <f>SUM(R25+R26+R27+R28+R29)</f>
        <v>70007200.209999949</v>
      </c>
    </row>
    <row r="25" spans="1:19" ht="31.5">
      <c r="A25" s="226" t="s">
        <v>122</v>
      </c>
      <c r="B25" s="227" t="s">
        <v>179</v>
      </c>
      <c r="C25" s="158">
        <v>0</v>
      </c>
      <c r="D25" s="158">
        <v>23491402.820000052</v>
      </c>
      <c r="E25" s="158">
        <f>SUM(F25:H25)</f>
        <v>444479300</v>
      </c>
      <c r="F25" s="158">
        <v>444479300</v>
      </c>
      <c r="G25" s="158">
        <v>0</v>
      </c>
      <c r="H25" s="158">
        <v>0</v>
      </c>
      <c r="I25" s="158">
        <v>512138572.64999992</v>
      </c>
      <c r="J25" s="158">
        <v>402622628.22999996</v>
      </c>
      <c r="K25" s="158">
        <v>71699258.600000009</v>
      </c>
      <c r="L25" s="158">
        <f>SUM(M25:O25)</f>
        <v>474398990.59000003</v>
      </c>
      <c r="M25" s="158">
        <v>402699731.99000001</v>
      </c>
      <c r="N25" s="158">
        <v>0</v>
      </c>
      <c r="O25" s="158">
        <v>71699258.600000009</v>
      </c>
      <c r="P25" s="158">
        <f>+L25-O25</f>
        <v>402699731.99000001</v>
      </c>
      <c r="Q25" s="158">
        <v>0</v>
      </c>
      <c r="R25" s="158">
        <f>+D25-C25+I25-L25+Q25</f>
        <v>61230984.879999936</v>
      </c>
      <c r="S25" s="59"/>
    </row>
    <row r="26" spans="1:19" ht="31.5">
      <c r="A26" s="156" t="s">
        <v>124</v>
      </c>
      <c r="B26" s="157" t="s">
        <v>180</v>
      </c>
      <c r="C26" s="158">
        <v>5284.6</v>
      </c>
      <c r="D26" s="158">
        <v>355080.22</v>
      </c>
      <c r="E26" s="158">
        <f t="shared" ref="E26:E49" si="3">SUM(F26:H26)</f>
        <v>44000000</v>
      </c>
      <c r="F26" s="158">
        <v>44000000</v>
      </c>
      <c r="G26" s="158">
        <v>0</v>
      </c>
      <c r="H26" s="158">
        <v>0</v>
      </c>
      <c r="I26" s="158">
        <v>40695874.659999996</v>
      </c>
      <c r="J26" s="158">
        <v>33123810.079999998</v>
      </c>
      <c r="K26" s="158">
        <v>4921205.12</v>
      </c>
      <c r="L26" s="158">
        <f t="shared" ref="L26:L49" si="4">SUM(M26:O26)</f>
        <v>38045015.199999996</v>
      </c>
      <c r="M26" s="158">
        <v>33123810.079999998</v>
      </c>
      <c r="N26" s="158">
        <v>0</v>
      </c>
      <c r="O26" s="158">
        <v>4921205.12</v>
      </c>
      <c r="P26" s="158">
        <f t="shared" ref="P26:P49" si="5">+L26-O26</f>
        <v>33123810.079999994</v>
      </c>
      <c r="Q26" s="158">
        <f>+'[2]Forma 1-PSDF-I  VLK '!Q24</f>
        <v>0</v>
      </c>
      <c r="R26" s="158">
        <f t="shared" ref="R26:R56" si="6">+D26-C26+I26-L26+Q26</f>
        <v>3000655.0799999982</v>
      </c>
    </row>
    <row r="27" spans="1:19" ht="47.25">
      <c r="A27" s="156" t="s">
        <v>181</v>
      </c>
      <c r="B27" s="157" t="s">
        <v>182</v>
      </c>
      <c r="C27" s="158">
        <v>0</v>
      </c>
      <c r="D27" s="158">
        <v>0</v>
      </c>
      <c r="E27" s="158">
        <f t="shared" si="3"/>
        <v>18198700</v>
      </c>
      <c r="F27" s="158">
        <v>18198700</v>
      </c>
      <c r="G27" s="158">
        <v>0</v>
      </c>
      <c r="H27" s="158">
        <v>0</v>
      </c>
      <c r="I27" s="158">
        <v>18007616.16</v>
      </c>
      <c r="J27" s="158">
        <v>14671249.57</v>
      </c>
      <c r="K27" s="158">
        <v>661698.19999999995</v>
      </c>
      <c r="L27" s="158">
        <f t="shared" si="4"/>
        <v>15332947.77</v>
      </c>
      <c r="M27" s="158">
        <v>14671249.57</v>
      </c>
      <c r="N27" s="158">
        <v>0</v>
      </c>
      <c r="O27" s="158">
        <v>661698.19999999995</v>
      </c>
      <c r="P27" s="158">
        <f t="shared" si="5"/>
        <v>14671249.57</v>
      </c>
      <c r="Q27" s="158">
        <f>+'[2]Forma 1-PSDF-I  VLK '!Q25</f>
        <v>0</v>
      </c>
      <c r="R27" s="158">
        <f t="shared" si="6"/>
        <v>2674668.3900000006</v>
      </c>
    </row>
    <row r="28" spans="1:19">
      <c r="A28" s="156" t="s">
        <v>183</v>
      </c>
      <c r="B28" s="157" t="s">
        <v>184</v>
      </c>
      <c r="C28" s="158">
        <v>0</v>
      </c>
      <c r="D28" s="158">
        <v>230742.24</v>
      </c>
      <c r="E28" s="158">
        <f t="shared" si="3"/>
        <v>7747500</v>
      </c>
      <c r="F28" s="158">
        <v>7747500</v>
      </c>
      <c r="G28" s="158">
        <v>0</v>
      </c>
      <c r="H28" s="158">
        <v>0</v>
      </c>
      <c r="I28" s="158">
        <v>6066872.1200000001</v>
      </c>
      <c r="J28" s="158">
        <v>5573366.2599999998</v>
      </c>
      <c r="K28" s="158">
        <v>30.14</v>
      </c>
      <c r="L28" s="158">
        <f t="shared" si="4"/>
        <v>5573396.3999999994</v>
      </c>
      <c r="M28" s="158">
        <v>5573366.2599999998</v>
      </c>
      <c r="N28" s="158">
        <v>0</v>
      </c>
      <c r="O28" s="158">
        <v>30.14</v>
      </c>
      <c r="P28" s="158">
        <f t="shared" si="5"/>
        <v>5573366.2599999998</v>
      </c>
      <c r="Q28" s="158">
        <f>+'[2]Forma 1-PSDF-I  VLK '!Q26</f>
        <v>0</v>
      </c>
      <c r="R28" s="158">
        <f t="shared" si="6"/>
        <v>724217.96000000089</v>
      </c>
    </row>
    <row r="29" spans="1:19" ht="29" customHeight="1">
      <c r="A29" s="156" t="s">
        <v>185</v>
      </c>
      <c r="B29" s="157" t="s">
        <v>186</v>
      </c>
      <c r="C29" s="158">
        <v>0</v>
      </c>
      <c r="D29" s="158">
        <v>1061239.68</v>
      </c>
      <c r="E29" s="158">
        <f t="shared" si="3"/>
        <v>21877500</v>
      </c>
      <c r="F29" s="158">
        <v>21877500</v>
      </c>
      <c r="G29" s="158">
        <v>0</v>
      </c>
      <c r="H29" s="158">
        <v>0</v>
      </c>
      <c r="I29" s="158">
        <v>19596710.390000001</v>
      </c>
      <c r="J29" s="158">
        <v>18281015.57</v>
      </c>
      <c r="K29" s="158">
        <v>260.60000000000002</v>
      </c>
      <c r="L29" s="158">
        <f t="shared" si="4"/>
        <v>18281276.170000002</v>
      </c>
      <c r="M29" s="158">
        <v>18281015.57</v>
      </c>
      <c r="N29" s="158">
        <v>0</v>
      </c>
      <c r="O29" s="158">
        <v>260.60000000000002</v>
      </c>
      <c r="P29" s="158">
        <f t="shared" si="5"/>
        <v>18281015.57</v>
      </c>
      <c r="Q29" s="158">
        <f>+'[2]Forma 1-PSDF-I  VLK '!Q27</f>
        <v>0</v>
      </c>
      <c r="R29" s="158">
        <f t="shared" si="6"/>
        <v>2376673.8999999985</v>
      </c>
      <c r="S29" s="59"/>
    </row>
    <row r="30" spans="1:19" ht="47.25">
      <c r="A30" s="225" t="s">
        <v>41</v>
      </c>
      <c r="B30" s="218" t="s">
        <v>187</v>
      </c>
      <c r="C30" s="159">
        <f t="shared" ref="C30:R30" si="7">SUM(C31+C32+C33+C34+C35+C36+C39+C43+C44+C45+C48+C49)</f>
        <v>3678.5800000000004</v>
      </c>
      <c r="D30" s="159">
        <f t="shared" si="7"/>
        <v>18081984.289999999</v>
      </c>
      <c r="E30" s="159">
        <f t="shared" si="7"/>
        <v>193078300</v>
      </c>
      <c r="F30" s="159">
        <f t="shared" si="7"/>
        <v>193078300</v>
      </c>
      <c r="G30" s="159">
        <f t="shared" si="7"/>
        <v>0</v>
      </c>
      <c r="H30" s="159">
        <f t="shared" si="7"/>
        <v>0</v>
      </c>
      <c r="I30" s="159">
        <f t="shared" si="7"/>
        <v>157607624.19000003</v>
      </c>
      <c r="J30" s="159">
        <f t="shared" si="7"/>
        <v>154915058.05000001</v>
      </c>
      <c r="K30" s="159">
        <f t="shared" si="7"/>
        <v>253673.59000000003</v>
      </c>
      <c r="L30" s="159">
        <f t="shared" si="7"/>
        <v>155168731.64000002</v>
      </c>
      <c r="M30" s="159">
        <f t="shared" si="7"/>
        <v>154915058.05000001</v>
      </c>
      <c r="N30" s="159">
        <f t="shared" si="7"/>
        <v>0</v>
      </c>
      <c r="O30" s="159">
        <f t="shared" si="7"/>
        <v>253673.59000000003</v>
      </c>
      <c r="P30" s="159">
        <f t="shared" si="7"/>
        <v>154915058.05000001</v>
      </c>
      <c r="Q30" s="159">
        <f t="shared" si="7"/>
        <v>852995.94</v>
      </c>
      <c r="R30" s="159">
        <f t="shared" si="7"/>
        <v>21370194.200000018</v>
      </c>
    </row>
    <row r="31" spans="1:19" ht="31.5">
      <c r="A31" s="228" t="s">
        <v>127</v>
      </c>
      <c r="B31" s="227" t="s">
        <v>188</v>
      </c>
      <c r="C31" s="158">
        <v>0</v>
      </c>
      <c r="D31" s="158">
        <v>631581.66000000061</v>
      </c>
      <c r="E31" s="158">
        <f t="shared" si="3"/>
        <v>5731100</v>
      </c>
      <c r="F31" s="158">
        <v>5731100</v>
      </c>
      <c r="G31" s="158">
        <v>0</v>
      </c>
      <c r="H31" s="158">
        <v>0</v>
      </c>
      <c r="I31" s="158">
        <v>4466003.1399999987</v>
      </c>
      <c r="J31" s="158">
        <v>4672831.7799999993</v>
      </c>
      <c r="K31" s="158">
        <v>0</v>
      </c>
      <c r="L31" s="158">
        <f t="shared" si="4"/>
        <v>4672831.7799999993</v>
      </c>
      <c r="M31" s="158">
        <v>4672831.7799999993</v>
      </c>
      <c r="N31" s="158">
        <v>0</v>
      </c>
      <c r="O31" s="158">
        <v>0</v>
      </c>
      <c r="P31" s="158">
        <f t="shared" si="5"/>
        <v>4672831.7799999993</v>
      </c>
      <c r="Q31" s="158">
        <v>0</v>
      </c>
      <c r="R31" s="158">
        <f t="shared" si="6"/>
        <v>424753.01999999955</v>
      </c>
    </row>
    <row r="32" spans="1:19" ht="31.5">
      <c r="A32" s="228" t="s">
        <v>129</v>
      </c>
      <c r="B32" s="227" t="s">
        <v>189</v>
      </c>
      <c r="C32" s="158">
        <v>0</v>
      </c>
      <c r="D32" s="158">
        <v>507714.82999999996</v>
      </c>
      <c r="E32" s="158">
        <f t="shared" si="3"/>
        <v>10329300</v>
      </c>
      <c r="F32" s="158">
        <v>10329300</v>
      </c>
      <c r="G32" s="158">
        <v>0</v>
      </c>
      <c r="H32" s="158">
        <v>0</v>
      </c>
      <c r="I32" s="158">
        <v>8362119.9199999999</v>
      </c>
      <c r="J32" s="158">
        <v>8019349.7700000014</v>
      </c>
      <c r="K32" s="158">
        <v>0</v>
      </c>
      <c r="L32" s="158">
        <f t="shared" si="4"/>
        <v>8019349.7700000014</v>
      </c>
      <c r="M32" s="158">
        <v>8019349.7700000014</v>
      </c>
      <c r="N32" s="158">
        <v>0</v>
      </c>
      <c r="O32" s="158">
        <v>0</v>
      </c>
      <c r="P32" s="158">
        <f t="shared" si="5"/>
        <v>8019349.7700000014</v>
      </c>
      <c r="Q32" s="158">
        <v>0</v>
      </c>
      <c r="R32" s="158">
        <f t="shared" si="6"/>
        <v>850484.97999999858</v>
      </c>
    </row>
    <row r="33" spans="1:27" ht="47.25">
      <c r="A33" s="228" t="s">
        <v>131</v>
      </c>
      <c r="B33" s="227" t="s">
        <v>190</v>
      </c>
      <c r="C33" s="158">
        <v>0</v>
      </c>
      <c r="D33" s="158">
        <v>2235470.3199999984</v>
      </c>
      <c r="E33" s="158">
        <f t="shared" si="3"/>
        <v>26723100</v>
      </c>
      <c r="F33" s="158">
        <v>26723100</v>
      </c>
      <c r="G33" s="158">
        <v>0</v>
      </c>
      <c r="H33" s="158">
        <v>0</v>
      </c>
      <c r="I33" s="158">
        <v>17885078.119999997</v>
      </c>
      <c r="J33" s="158">
        <v>18106241.43</v>
      </c>
      <c r="K33" s="158">
        <v>5927.1</v>
      </c>
      <c r="L33" s="158">
        <f t="shared" si="4"/>
        <v>18112168.530000001</v>
      </c>
      <c r="M33" s="158">
        <v>18106241.43</v>
      </c>
      <c r="N33" s="158">
        <v>0</v>
      </c>
      <c r="O33" s="158">
        <v>5927.1</v>
      </c>
      <c r="P33" s="158">
        <f t="shared" si="5"/>
        <v>18106241.43</v>
      </c>
      <c r="Q33" s="158">
        <v>0</v>
      </c>
      <c r="R33" s="158">
        <f t="shared" si="6"/>
        <v>2008379.9099999964</v>
      </c>
    </row>
    <row r="34" spans="1:27" ht="31.5">
      <c r="A34" s="228" t="s">
        <v>133</v>
      </c>
      <c r="B34" s="229" t="s">
        <v>191</v>
      </c>
      <c r="C34" s="158">
        <v>0</v>
      </c>
      <c r="D34" s="158">
        <v>250964.09999999971</v>
      </c>
      <c r="E34" s="158">
        <f t="shared" si="3"/>
        <v>2389300</v>
      </c>
      <c r="F34" s="158">
        <v>2389300</v>
      </c>
      <c r="G34" s="158">
        <v>0</v>
      </c>
      <c r="H34" s="158">
        <v>0</v>
      </c>
      <c r="I34" s="158">
        <v>2038893.7000000002</v>
      </c>
      <c r="J34" s="158">
        <v>2086877.65</v>
      </c>
      <c r="K34" s="158">
        <v>0</v>
      </c>
      <c r="L34" s="158">
        <f t="shared" si="4"/>
        <v>2086877.65</v>
      </c>
      <c r="M34" s="158">
        <v>2086877.65</v>
      </c>
      <c r="N34" s="158">
        <v>0</v>
      </c>
      <c r="O34" s="158">
        <v>0</v>
      </c>
      <c r="P34" s="158">
        <f t="shared" si="5"/>
        <v>2086877.65</v>
      </c>
      <c r="Q34" s="158">
        <v>0</v>
      </c>
      <c r="R34" s="158">
        <f t="shared" si="6"/>
        <v>202980.14999999991</v>
      </c>
    </row>
    <row r="35" spans="1:27" ht="31.5">
      <c r="A35" s="228" t="s">
        <v>135</v>
      </c>
      <c r="B35" s="229" t="s">
        <v>192</v>
      </c>
      <c r="C35" s="158">
        <v>0</v>
      </c>
      <c r="D35" s="158">
        <v>657910.61999999965</v>
      </c>
      <c r="E35" s="158">
        <f t="shared" si="3"/>
        <v>7771600</v>
      </c>
      <c r="F35" s="158">
        <v>7771600</v>
      </c>
      <c r="G35" s="158">
        <v>0</v>
      </c>
      <c r="H35" s="158">
        <v>0</v>
      </c>
      <c r="I35" s="158">
        <v>6457110.2500000019</v>
      </c>
      <c r="J35" s="158">
        <v>6445449.120000001</v>
      </c>
      <c r="K35" s="158">
        <v>0</v>
      </c>
      <c r="L35" s="158">
        <f t="shared" si="4"/>
        <v>6445449.120000001</v>
      </c>
      <c r="M35" s="158">
        <v>6445449.120000001</v>
      </c>
      <c r="N35" s="158">
        <v>0</v>
      </c>
      <c r="O35" s="158">
        <v>0</v>
      </c>
      <c r="P35" s="158">
        <f t="shared" si="5"/>
        <v>6445449.120000001</v>
      </c>
      <c r="Q35" s="158">
        <v>0</v>
      </c>
      <c r="R35" s="158">
        <f t="shared" si="6"/>
        <v>669571.75</v>
      </c>
    </row>
    <row r="36" spans="1:27" s="212" customFormat="1" ht="78.75">
      <c r="A36" s="230" t="s">
        <v>137</v>
      </c>
      <c r="B36" s="218" t="s">
        <v>193</v>
      </c>
      <c r="C36" s="159">
        <f t="shared" ref="C36:R36" si="8">SUM(C37+C38)</f>
        <v>0</v>
      </c>
      <c r="D36" s="159">
        <f t="shared" si="8"/>
        <v>6379541.75</v>
      </c>
      <c r="E36" s="159">
        <f t="shared" si="8"/>
        <v>23575000</v>
      </c>
      <c r="F36" s="159">
        <f t="shared" si="8"/>
        <v>23575000</v>
      </c>
      <c r="G36" s="159">
        <f t="shared" si="8"/>
        <v>0</v>
      </c>
      <c r="H36" s="159">
        <f t="shared" si="8"/>
        <v>0</v>
      </c>
      <c r="I36" s="159">
        <f t="shared" si="8"/>
        <v>23878686.73</v>
      </c>
      <c r="J36" s="159">
        <f t="shared" si="8"/>
        <v>22967768.120000001</v>
      </c>
      <c r="K36" s="159">
        <f t="shared" si="8"/>
        <v>0</v>
      </c>
      <c r="L36" s="159">
        <f t="shared" si="8"/>
        <v>22967768.120000001</v>
      </c>
      <c r="M36" s="159">
        <f t="shared" si="8"/>
        <v>22967768.120000001</v>
      </c>
      <c r="N36" s="159">
        <f t="shared" si="8"/>
        <v>0</v>
      </c>
      <c r="O36" s="159">
        <f t="shared" si="8"/>
        <v>0</v>
      </c>
      <c r="P36" s="159">
        <f t="shared" si="8"/>
        <v>22967768.120000001</v>
      </c>
      <c r="Q36" s="159">
        <f t="shared" si="8"/>
        <v>0</v>
      </c>
      <c r="R36" s="159">
        <f t="shared" si="8"/>
        <v>7290460.3600000013</v>
      </c>
    </row>
    <row r="37" spans="1:27" ht="110.25">
      <c r="A37" s="228" t="s">
        <v>139</v>
      </c>
      <c r="B37" s="227" t="s">
        <v>194</v>
      </c>
      <c r="C37" s="158">
        <v>0</v>
      </c>
      <c r="D37" s="158">
        <v>365331.76999999996</v>
      </c>
      <c r="E37" s="158">
        <f t="shared" si="3"/>
        <v>4575000</v>
      </c>
      <c r="F37" s="158">
        <v>4575000</v>
      </c>
      <c r="G37" s="158">
        <v>0</v>
      </c>
      <c r="H37" s="158">
        <v>0</v>
      </c>
      <c r="I37" s="158">
        <v>4597703.63</v>
      </c>
      <c r="J37" s="158">
        <v>4299210.05</v>
      </c>
      <c r="K37" s="158">
        <v>0</v>
      </c>
      <c r="L37" s="158">
        <f t="shared" si="4"/>
        <v>4299210.05</v>
      </c>
      <c r="M37" s="158">
        <v>4299210.05</v>
      </c>
      <c r="N37" s="158">
        <v>0</v>
      </c>
      <c r="O37" s="158">
        <v>0</v>
      </c>
      <c r="P37" s="158">
        <f t="shared" si="5"/>
        <v>4299210.05</v>
      </c>
      <c r="Q37" s="158">
        <v>0</v>
      </c>
      <c r="R37" s="158">
        <f t="shared" si="6"/>
        <v>663825.34999999963</v>
      </c>
    </row>
    <row r="38" spans="1:27" ht="31.5">
      <c r="A38" s="228" t="s">
        <v>140</v>
      </c>
      <c r="B38" s="157" t="s">
        <v>195</v>
      </c>
      <c r="C38" s="158">
        <v>0</v>
      </c>
      <c r="D38" s="158">
        <v>6014209.9800000004</v>
      </c>
      <c r="E38" s="158">
        <f t="shared" si="3"/>
        <v>19000000</v>
      </c>
      <c r="F38" s="158">
        <v>19000000</v>
      </c>
      <c r="G38" s="158">
        <v>0</v>
      </c>
      <c r="H38" s="158">
        <v>0</v>
      </c>
      <c r="I38" s="158">
        <v>19280983.100000001</v>
      </c>
      <c r="J38" s="158">
        <v>18668558.07</v>
      </c>
      <c r="K38" s="158">
        <v>0</v>
      </c>
      <c r="L38" s="158">
        <f t="shared" si="4"/>
        <v>18668558.07</v>
      </c>
      <c r="M38" s="158">
        <v>18668558.07</v>
      </c>
      <c r="N38" s="158">
        <v>0</v>
      </c>
      <c r="O38" s="158">
        <v>0</v>
      </c>
      <c r="P38" s="158">
        <f t="shared" si="5"/>
        <v>18668558.07</v>
      </c>
      <c r="Q38" s="158">
        <v>0</v>
      </c>
      <c r="R38" s="158">
        <f t="shared" si="6"/>
        <v>6626635.0100000016</v>
      </c>
      <c r="S38" s="158">
        <f>+'[2]Forma 1-PSDF-I  VLK '!S36</f>
        <v>0</v>
      </c>
      <c r="T38" s="158">
        <f>+'[2]Forma 1-PSDF-I  VLK '!T36</f>
        <v>0</v>
      </c>
      <c r="U38" s="158">
        <f>+'[2]Forma 1-PSDF-I  VLK '!U36</f>
        <v>0</v>
      </c>
      <c r="V38" s="158">
        <f>+'[2]Forma 1-PSDF-I  VLK '!V36</f>
        <v>0</v>
      </c>
      <c r="W38" s="158">
        <f>+'[2]Forma 1-PSDF-I  VLK '!W36</f>
        <v>0</v>
      </c>
      <c r="X38" s="158">
        <f>+'[2]Forma 1-PSDF-I  VLK '!X36</f>
        <v>0</v>
      </c>
      <c r="Y38" s="158">
        <f>+'[2]Forma 1-PSDF-I  VLK '!Y36</f>
        <v>0</v>
      </c>
      <c r="Z38" s="158">
        <f>+'[2]Forma 1-PSDF-I  VLK '!Z36</f>
        <v>0</v>
      </c>
      <c r="AA38" s="158">
        <f>+'[2]Forma 1-PSDF-I  VLK '!AA36</f>
        <v>0</v>
      </c>
    </row>
    <row r="39" spans="1:27" s="212" customFormat="1" ht="31.5">
      <c r="A39" s="230" t="s">
        <v>144</v>
      </c>
      <c r="B39" s="231" t="s">
        <v>196</v>
      </c>
      <c r="C39" s="159">
        <f>SUM(C40+C41)</f>
        <v>0</v>
      </c>
      <c r="D39" s="159">
        <f>SUM(D40+D41)</f>
        <v>2963157.3499999992</v>
      </c>
      <c r="E39" s="159">
        <f>SUM(E40+E41+E42)</f>
        <v>38255100</v>
      </c>
      <c r="F39" s="159">
        <f>SUM(F40+F41+F42)</f>
        <v>38255100</v>
      </c>
      <c r="G39" s="159">
        <f t="shared" ref="G39:R39" si="9">SUM(G40+G41)</f>
        <v>0</v>
      </c>
      <c r="H39" s="159">
        <f t="shared" si="9"/>
        <v>0</v>
      </c>
      <c r="I39" s="159">
        <f t="shared" si="9"/>
        <v>32906067.789999999</v>
      </c>
      <c r="J39" s="159">
        <f t="shared" si="9"/>
        <v>32201758.749999996</v>
      </c>
      <c r="K39" s="159">
        <f t="shared" si="9"/>
        <v>0</v>
      </c>
      <c r="L39" s="159">
        <f t="shared" si="9"/>
        <v>32201758.749999996</v>
      </c>
      <c r="M39" s="159">
        <f t="shared" si="9"/>
        <v>32201758.749999996</v>
      </c>
      <c r="N39" s="159">
        <f t="shared" si="9"/>
        <v>0</v>
      </c>
      <c r="O39" s="159">
        <f t="shared" si="9"/>
        <v>0</v>
      </c>
      <c r="P39" s="159">
        <f t="shared" si="9"/>
        <v>32201758.749999996</v>
      </c>
      <c r="Q39" s="159">
        <f t="shared" si="9"/>
        <v>0</v>
      </c>
      <c r="R39" s="159">
        <f t="shared" si="9"/>
        <v>3667466.3900000048</v>
      </c>
    </row>
    <row r="40" spans="1:27" ht="63">
      <c r="A40" s="493" t="s">
        <v>197</v>
      </c>
      <c r="B40" s="227" t="s">
        <v>198</v>
      </c>
      <c r="C40" s="158">
        <v>0</v>
      </c>
      <c r="D40" s="158">
        <v>2934145.1999999993</v>
      </c>
      <c r="E40" s="158">
        <f t="shared" si="3"/>
        <v>37750500</v>
      </c>
      <c r="F40" s="158">
        <v>37750500</v>
      </c>
      <c r="G40" s="158">
        <v>0</v>
      </c>
      <c r="H40" s="158">
        <v>0</v>
      </c>
      <c r="I40" s="158">
        <v>32624682.34</v>
      </c>
      <c r="J40" s="158">
        <v>31938729.579999994</v>
      </c>
      <c r="K40" s="158">
        <v>0</v>
      </c>
      <c r="L40" s="158">
        <f t="shared" si="4"/>
        <v>31938729.579999994</v>
      </c>
      <c r="M40" s="158">
        <v>31938729.579999994</v>
      </c>
      <c r="N40" s="158">
        <v>0</v>
      </c>
      <c r="O40" s="158">
        <v>0</v>
      </c>
      <c r="P40" s="158">
        <f t="shared" si="5"/>
        <v>31938729.579999994</v>
      </c>
      <c r="Q40" s="158">
        <v>0</v>
      </c>
      <c r="R40" s="158">
        <f t="shared" si="6"/>
        <v>3620097.9600000046</v>
      </c>
      <c r="S40" s="158" t="e">
        <f>SUM(#REF!)</f>
        <v>#REF!</v>
      </c>
      <c r="T40" s="158" t="e">
        <f>SUM(#REF!)</f>
        <v>#REF!</v>
      </c>
      <c r="U40" s="158" t="e">
        <f>SUM(#REF!)</f>
        <v>#REF!</v>
      </c>
      <c r="V40" s="158" t="e">
        <f>SUM(#REF!)</f>
        <v>#REF!</v>
      </c>
      <c r="W40" s="158" t="e">
        <f>SUM(#REF!)</f>
        <v>#REF!</v>
      </c>
      <c r="X40" s="158" t="e">
        <f>SUM(#REF!)</f>
        <v>#REF!</v>
      </c>
      <c r="Y40" s="158" t="e">
        <f>SUM(#REF!)</f>
        <v>#REF!</v>
      </c>
      <c r="Z40" s="158" t="e">
        <f>SUM(#REF!)</f>
        <v>#REF!</v>
      </c>
      <c r="AA40" s="158" t="e">
        <f>SUM(#REF!)</f>
        <v>#REF!</v>
      </c>
    </row>
    <row r="41" spans="1:27" ht="45.6" customHeight="1">
      <c r="A41" s="493" t="s">
        <v>199</v>
      </c>
      <c r="B41" s="227" t="s">
        <v>200</v>
      </c>
      <c r="C41" s="158">
        <v>0</v>
      </c>
      <c r="D41" s="158">
        <v>29012.150000000009</v>
      </c>
      <c r="E41" s="158">
        <f t="shared" si="3"/>
        <v>290700</v>
      </c>
      <c r="F41" s="158">
        <v>290700</v>
      </c>
      <c r="G41" s="158">
        <v>0</v>
      </c>
      <c r="H41" s="158">
        <v>0</v>
      </c>
      <c r="I41" s="158">
        <v>281385.44999999995</v>
      </c>
      <c r="J41" s="158">
        <v>263029.17</v>
      </c>
      <c r="K41" s="158">
        <v>0</v>
      </c>
      <c r="L41" s="158">
        <f t="shared" si="4"/>
        <v>263029.17</v>
      </c>
      <c r="M41" s="158">
        <v>263029.17</v>
      </c>
      <c r="N41" s="158">
        <v>0</v>
      </c>
      <c r="O41" s="158">
        <v>0</v>
      </c>
      <c r="P41" s="158">
        <f t="shared" si="5"/>
        <v>263029.17</v>
      </c>
      <c r="Q41" s="158">
        <v>0</v>
      </c>
      <c r="R41" s="158">
        <f t="shared" si="6"/>
        <v>47368.429999999993</v>
      </c>
    </row>
    <row r="42" spans="1:27" ht="31.25" customHeight="1">
      <c r="A42" s="594" t="s">
        <v>550</v>
      </c>
      <c r="B42" s="595"/>
      <c r="C42" s="224" t="s">
        <v>115</v>
      </c>
      <c r="D42" s="224" t="s">
        <v>115</v>
      </c>
      <c r="E42" s="224">
        <f t="shared" ref="E42" si="10">SUM(F42:H42)</f>
        <v>213900</v>
      </c>
      <c r="F42" s="224">
        <v>213900</v>
      </c>
      <c r="G42" s="224" t="s">
        <v>115</v>
      </c>
      <c r="H42" s="224" t="s">
        <v>115</v>
      </c>
      <c r="I42" s="224" t="s">
        <v>115</v>
      </c>
      <c r="J42" s="224" t="s">
        <v>115</v>
      </c>
      <c r="K42" s="224" t="s">
        <v>115</v>
      </c>
      <c r="L42" s="224" t="s">
        <v>115</v>
      </c>
      <c r="M42" s="224" t="s">
        <v>115</v>
      </c>
      <c r="N42" s="224" t="s">
        <v>115</v>
      </c>
      <c r="O42" s="224" t="s">
        <v>115</v>
      </c>
      <c r="P42" s="224" t="s">
        <v>115</v>
      </c>
      <c r="Q42" s="224" t="s">
        <v>115</v>
      </c>
      <c r="R42" s="224" t="s">
        <v>115</v>
      </c>
    </row>
    <row r="43" spans="1:27">
      <c r="A43" s="228" t="s">
        <v>201</v>
      </c>
      <c r="B43" s="227" t="s">
        <v>551</v>
      </c>
      <c r="C43" s="158">
        <v>0</v>
      </c>
      <c r="D43" s="158">
        <v>4455194.2399999993</v>
      </c>
      <c r="E43" s="158">
        <f t="shared" si="3"/>
        <v>42053700</v>
      </c>
      <c r="F43" s="158">
        <v>42053700</v>
      </c>
      <c r="G43" s="158">
        <v>0</v>
      </c>
      <c r="H43" s="158">
        <v>0</v>
      </c>
      <c r="I43" s="158">
        <v>39420999.88000001</v>
      </c>
      <c r="J43" s="158">
        <v>39066147.009999998</v>
      </c>
      <c r="K43" s="158">
        <v>192522.22000000003</v>
      </c>
      <c r="L43" s="158">
        <f t="shared" si="4"/>
        <v>39258669.229999997</v>
      </c>
      <c r="M43" s="158">
        <v>39066147.009999998</v>
      </c>
      <c r="N43" s="158">
        <v>0</v>
      </c>
      <c r="O43" s="158">
        <v>192522.22000000003</v>
      </c>
      <c r="P43" s="158">
        <f t="shared" si="5"/>
        <v>39066147.009999998</v>
      </c>
      <c r="Q43" s="158">
        <v>0</v>
      </c>
      <c r="R43" s="158">
        <f t="shared" si="6"/>
        <v>4617524.8900000155</v>
      </c>
    </row>
    <row r="44" spans="1:27" ht="31.5">
      <c r="A44" s="228" t="s">
        <v>202</v>
      </c>
      <c r="B44" s="229" t="s">
        <v>203</v>
      </c>
      <c r="C44" s="158">
        <v>3654.82</v>
      </c>
      <c r="D44" s="158">
        <v>449.42</v>
      </c>
      <c r="E44" s="158">
        <f t="shared" si="3"/>
        <v>17000000</v>
      </c>
      <c r="F44" s="158">
        <v>17000000</v>
      </c>
      <c r="G44" s="158">
        <v>0</v>
      </c>
      <c r="H44" s="158">
        <v>0</v>
      </c>
      <c r="I44" s="158">
        <v>10455598.18</v>
      </c>
      <c r="J44" s="158">
        <v>9123932.7200000007</v>
      </c>
      <c r="K44" s="158">
        <v>55224.27</v>
      </c>
      <c r="L44" s="158">
        <f t="shared" si="4"/>
        <v>9179156.9900000002</v>
      </c>
      <c r="M44" s="158">
        <v>9123932.7200000007</v>
      </c>
      <c r="N44" s="158">
        <v>0</v>
      </c>
      <c r="O44" s="158">
        <v>55224.27</v>
      </c>
      <c r="P44" s="158">
        <f t="shared" si="5"/>
        <v>9123932.7200000007</v>
      </c>
      <c r="Q44" s="158">
        <v>0</v>
      </c>
      <c r="R44" s="158">
        <f t="shared" si="6"/>
        <v>1273235.7899999991</v>
      </c>
    </row>
    <row r="45" spans="1:27" s="212" customFormat="1" ht="31.5">
      <c r="A45" s="232" t="s">
        <v>204</v>
      </c>
      <c r="B45" s="233" t="s">
        <v>205</v>
      </c>
      <c r="C45" s="159">
        <f t="shared" ref="C45:R45" si="11">SUM(C46+C47)</f>
        <v>0</v>
      </c>
      <c r="D45" s="159">
        <f t="shared" si="11"/>
        <v>0</v>
      </c>
      <c r="E45" s="159">
        <f t="shared" si="11"/>
        <v>8524400</v>
      </c>
      <c r="F45" s="159">
        <f t="shared" si="11"/>
        <v>8524400</v>
      </c>
      <c r="G45" s="159">
        <f t="shared" si="11"/>
        <v>0</v>
      </c>
      <c r="H45" s="159">
        <f t="shared" si="11"/>
        <v>0</v>
      </c>
      <c r="I45" s="159">
        <f t="shared" si="11"/>
        <v>7670204.0600000005</v>
      </c>
      <c r="J45" s="159">
        <f t="shared" si="11"/>
        <v>8523200</v>
      </c>
      <c r="K45" s="159">
        <f t="shared" si="11"/>
        <v>0</v>
      </c>
      <c r="L45" s="159">
        <f t="shared" si="11"/>
        <v>8523200</v>
      </c>
      <c r="M45" s="159">
        <f t="shared" si="11"/>
        <v>8523200</v>
      </c>
      <c r="N45" s="159">
        <f t="shared" si="11"/>
        <v>0</v>
      </c>
      <c r="O45" s="159">
        <f t="shared" si="11"/>
        <v>0</v>
      </c>
      <c r="P45" s="159">
        <f t="shared" si="11"/>
        <v>8523200</v>
      </c>
      <c r="Q45" s="159">
        <f t="shared" si="11"/>
        <v>852995.94</v>
      </c>
      <c r="R45" s="159">
        <f t="shared" si="11"/>
        <v>0</v>
      </c>
    </row>
    <row r="46" spans="1:27" ht="57" customHeight="1">
      <c r="A46" s="491" t="s">
        <v>206</v>
      </c>
      <c r="B46" s="229" t="s">
        <v>207</v>
      </c>
      <c r="C46" s="158">
        <v>0</v>
      </c>
      <c r="D46" s="158">
        <v>0</v>
      </c>
      <c r="E46" s="158">
        <f t="shared" si="3"/>
        <v>8523200</v>
      </c>
      <c r="F46" s="158">
        <v>8523200</v>
      </c>
      <c r="G46" s="158">
        <v>0</v>
      </c>
      <c r="H46" s="158">
        <v>0</v>
      </c>
      <c r="I46" s="158">
        <v>7670204.0600000005</v>
      </c>
      <c r="J46" s="158">
        <v>8523200</v>
      </c>
      <c r="K46" s="158">
        <v>0</v>
      </c>
      <c r="L46" s="158">
        <f t="shared" si="4"/>
        <v>8523200</v>
      </c>
      <c r="M46" s="158">
        <v>8523200</v>
      </c>
      <c r="N46" s="158">
        <v>0</v>
      </c>
      <c r="O46" s="158">
        <v>0</v>
      </c>
      <c r="P46" s="158">
        <f t="shared" si="5"/>
        <v>8523200</v>
      </c>
      <c r="Q46" s="158">
        <v>852995.94</v>
      </c>
      <c r="R46" s="158">
        <f t="shared" si="6"/>
        <v>0</v>
      </c>
    </row>
    <row r="47" spans="1:27" ht="45.6" customHeight="1">
      <c r="A47" s="492" t="s">
        <v>208</v>
      </c>
      <c r="B47" s="229" t="s">
        <v>552</v>
      </c>
      <c r="C47" s="158">
        <v>0</v>
      </c>
      <c r="D47" s="158">
        <v>0</v>
      </c>
      <c r="E47" s="158">
        <f t="shared" si="3"/>
        <v>1200</v>
      </c>
      <c r="F47" s="158">
        <v>1200</v>
      </c>
      <c r="G47" s="158">
        <v>0</v>
      </c>
      <c r="H47" s="158">
        <v>0</v>
      </c>
      <c r="I47" s="158">
        <v>0</v>
      </c>
      <c r="J47" s="158">
        <v>0</v>
      </c>
      <c r="K47" s="158">
        <v>0</v>
      </c>
      <c r="L47" s="158">
        <v>0</v>
      </c>
      <c r="M47" s="158">
        <v>0</v>
      </c>
      <c r="N47" s="158">
        <v>0</v>
      </c>
      <c r="O47" s="158">
        <v>0</v>
      </c>
      <c r="P47" s="158">
        <v>0</v>
      </c>
      <c r="Q47" s="158">
        <v>0</v>
      </c>
      <c r="R47" s="158">
        <f t="shared" si="6"/>
        <v>0</v>
      </c>
    </row>
    <row r="48" spans="1:27" ht="31.5">
      <c r="A48" s="228" t="s">
        <v>209</v>
      </c>
      <c r="B48" s="227" t="s">
        <v>210</v>
      </c>
      <c r="C48" s="158">
        <v>23.76</v>
      </c>
      <c r="D48" s="158">
        <v>0</v>
      </c>
      <c r="E48" s="158">
        <f t="shared" si="3"/>
        <v>1700000</v>
      </c>
      <c r="F48" s="158">
        <v>1700000</v>
      </c>
      <c r="G48" s="158">
        <v>0</v>
      </c>
      <c r="H48" s="158">
        <v>0</v>
      </c>
      <c r="I48" s="158">
        <v>1354385.85</v>
      </c>
      <c r="J48" s="158">
        <v>1284208.77</v>
      </c>
      <c r="K48" s="158">
        <v>0</v>
      </c>
      <c r="L48" s="158">
        <f t="shared" si="4"/>
        <v>1284208.77</v>
      </c>
      <c r="M48" s="158">
        <v>1284208.77</v>
      </c>
      <c r="N48" s="158">
        <v>0</v>
      </c>
      <c r="O48" s="158">
        <v>0</v>
      </c>
      <c r="P48" s="158">
        <f t="shared" si="5"/>
        <v>1284208.77</v>
      </c>
      <c r="Q48" s="158">
        <v>0</v>
      </c>
      <c r="R48" s="158">
        <f t="shared" si="6"/>
        <v>70153.320000000065</v>
      </c>
    </row>
    <row r="49" spans="1:19" ht="47.25">
      <c r="A49" s="228" t="s">
        <v>211</v>
      </c>
      <c r="B49" s="227" t="s">
        <v>212</v>
      </c>
      <c r="C49" s="158">
        <v>0</v>
      </c>
      <c r="D49" s="158">
        <v>0</v>
      </c>
      <c r="E49" s="158">
        <f t="shared" si="3"/>
        <v>9025700</v>
      </c>
      <c r="F49" s="158">
        <v>9025700</v>
      </c>
      <c r="G49" s="158">
        <v>0</v>
      </c>
      <c r="H49" s="158">
        <v>0</v>
      </c>
      <c r="I49" s="158">
        <v>2712476.57</v>
      </c>
      <c r="J49" s="158">
        <v>2417292.9300000002</v>
      </c>
      <c r="K49" s="158">
        <v>0</v>
      </c>
      <c r="L49" s="158">
        <f t="shared" si="4"/>
        <v>2417292.9300000002</v>
      </c>
      <c r="M49" s="158">
        <v>2417292.9300000002</v>
      </c>
      <c r="N49" s="158">
        <v>0</v>
      </c>
      <c r="O49" s="158">
        <v>0</v>
      </c>
      <c r="P49" s="158">
        <f t="shared" si="5"/>
        <v>2417292.9300000002</v>
      </c>
      <c r="Q49" s="158">
        <v>0</v>
      </c>
      <c r="R49" s="158">
        <f t="shared" si="6"/>
        <v>295183.63999999966</v>
      </c>
    </row>
    <row r="50" spans="1:19" s="212" customFormat="1" ht="63">
      <c r="A50" s="234" t="s">
        <v>62</v>
      </c>
      <c r="B50" s="218" t="s">
        <v>63</v>
      </c>
      <c r="C50" s="159">
        <v>2456374.31</v>
      </c>
      <c r="D50" s="159">
        <v>342621.01999999979</v>
      </c>
      <c r="E50" s="159">
        <f>+F50</f>
        <v>31477000</v>
      </c>
      <c r="F50" s="159">
        <v>31477000</v>
      </c>
      <c r="G50" s="159">
        <v>0</v>
      </c>
      <c r="H50" s="159">
        <v>0</v>
      </c>
      <c r="I50" s="159">
        <v>22675782.82</v>
      </c>
      <c r="J50" s="159">
        <v>19804551.289999999</v>
      </c>
      <c r="K50" s="159">
        <v>0</v>
      </c>
      <c r="L50" s="159">
        <f>+M50</f>
        <v>19804966.640000001</v>
      </c>
      <c r="M50" s="159">
        <v>19804966.640000001</v>
      </c>
      <c r="N50" s="159">
        <v>0</v>
      </c>
      <c r="O50" s="159">
        <v>0</v>
      </c>
      <c r="P50" s="159">
        <f>+L50-K50</f>
        <v>19804966.640000001</v>
      </c>
      <c r="Q50" s="159">
        <v>2282231.98</v>
      </c>
      <c r="R50" s="159">
        <f t="shared" si="6"/>
        <v>3039294.8700000006</v>
      </c>
    </row>
    <row r="51" spans="1:19" s="212" customFormat="1" ht="110.25">
      <c r="A51" s="225" t="s">
        <v>64</v>
      </c>
      <c r="B51" s="218" t="s">
        <v>213</v>
      </c>
      <c r="C51" s="159">
        <v>0</v>
      </c>
      <c r="D51" s="159">
        <v>780190.37000000011</v>
      </c>
      <c r="E51" s="159">
        <f t="shared" ref="E51:E56" si="12">SUM(F51:H51)</f>
        <v>2831000</v>
      </c>
      <c r="F51" s="159">
        <v>2831000</v>
      </c>
      <c r="G51" s="159">
        <v>0</v>
      </c>
      <c r="H51" s="159">
        <v>0</v>
      </c>
      <c r="I51" s="159">
        <v>2706563.04</v>
      </c>
      <c r="J51" s="159">
        <v>2602384.75</v>
      </c>
      <c r="K51" s="159">
        <v>0</v>
      </c>
      <c r="L51" s="159">
        <f t="shared" ref="L51:L56" si="13">SUM(M51:O51)</f>
        <v>2602384.75</v>
      </c>
      <c r="M51" s="159">
        <v>2602384.75</v>
      </c>
      <c r="N51" s="159">
        <v>0</v>
      </c>
      <c r="O51" s="159">
        <v>0</v>
      </c>
      <c r="P51" s="159">
        <f t="shared" ref="P51:P56" si="14">+L51-O51</f>
        <v>2602384.75</v>
      </c>
      <c r="Q51" s="159">
        <f>+'[2]Forma 1-PSDF-I  VLK '!Q49</f>
        <v>0</v>
      </c>
      <c r="R51" s="159">
        <f t="shared" si="6"/>
        <v>884368.66000000015</v>
      </c>
    </row>
    <row r="52" spans="1:19" s="212" customFormat="1" ht="63">
      <c r="A52" s="235" t="s">
        <v>66</v>
      </c>
      <c r="B52" s="236" t="s">
        <v>214</v>
      </c>
      <c r="C52" s="159">
        <f t="shared" ref="C52:R52" si="15">SUM(C53+C54+C55+C56+C57)</f>
        <v>0</v>
      </c>
      <c r="D52" s="159">
        <f t="shared" si="15"/>
        <v>2558842.5600000015</v>
      </c>
      <c r="E52" s="159">
        <f t="shared" si="15"/>
        <v>124902000</v>
      </c>
      <c r="F52" s="159">
        <f t="shared" si="15"/>
        <v>124902000</v>
      </c>
      <c r="G52" s="159">
        <f t="shared" si="15"/>
        <v>0</v>
      </c>
      <c r="H52" s="159">
        <f t="shared" si="15"/>
        <v>0</v>
      </c>
      <c r="I52" s="159">
        <f t="shared" si="15"/>
        <v>126184193.09</v>
      </c>
      <c r="J52" s="159">
        <f>SUM(J53+J54+J55+J56+J57)+1475179.54</f>
        <v>115600000.00000001</v>
      </c>
      <c r="K52" s="159">
        <f t="shared" si="15"/>
        <v>0</v>
      </c>
      <c r="L52" s="159">
        <f t="shared" si="15"/>
        <v>114124820.46000001</v>
      </c>
      <c r="M52" s="159">
        <f t="shared" si="15"/>
        <v>114124820.46000001</v>
      </c>
      <c r="N52" s="159">
        <f t="shared" si="15"/>
        <v>0</v>
      </c>
      <c r="O52" s="159">
        <f t="shared" si="15"/>
        <v>0</v>
      </c>
      <c r="P52" s="159">
        <f t="shared" si="15"/>
        <v>114124820.46000001</v>
      </c>
      <c r="Q52" s="159">
        <f t="shared" si="15"/>
        <v>73016.34</v>
      </c>
      <c r="R52" s="159">
        <f t="shared" si="15"/>
        <v>14691231.530000001</v>
      </c>
    </row>
    <row r="53" spans="1:19" ht="31.5">
      <c r="A53" s="237" t="s">
        <v>215</v>
      </c>
      <c r="B53" s="167" t="s">
        <v>553</v>
      </c>
      <c r="C53" s="158">
        <v>0</v>
      </c>
      <c r="D53" s="158">
        <v>0</v>
      </c>
      <c r="E53" s="158">
        <f t="shared" si="12"/>
        <v>90333000</v>
      </c>
      <c r="F53" s="158">
        <v>90333000</v>
      </c>
      <c r="G53" s="158">
        <v>0</v>
      </c>
      <c r="H53" s="158">
        <v>0</v>
      </c>
      <c r="I53" s="158">
        <v>89974866.689999998</v>
      </c>
      <c r="J53" s="158">
        <v>79977659.280000001</v>
      </c>
      <c r="K53" s="158">
        <v>0</v>
      </c>
      <c r="L53" s="158">
        <f t="shared" si="13"/>
        <v>79977659.280000001</v>
      </c>
      <c r="M53" s="158">
        <v>79977659.280000001</v>
      </c>
      <c r="N53" s="158">
        <v>0</v>
      </c>
      <c r="O53" s="158">
        <v>0</v>
      </c>
      <c r="P53" s="158">
        <f t="shared" si="14"/>
        <v>79977659.280000001</v>
      </c>
      <c r="Q53" s="158">
        <v>0</v>
      </c>
      <c r="R53" s="158">
        <f t="shared" si="6"/>
        <v>9997207.4099999964</v>
      </c>
    </row>
    <row r="54" spans="1:19" ht="47.25">
      <c r="A54" s="237" t="s">
        <v>216</v>
      </c>
      <c r="B54" s="167" t="s">
        <v>217</v>
      </c>
      <c r="C54" s="158">
        <v>0</v>
      </c>
      <c r="D54" s="158">
        <v>0</v>
      </c>
      <c r="E54" s="158">
        <f t="shared" si="12"/>
        <v>1072500</v>
      </c>
      <c r="F54" s="158">
        <v>1072500</v>
      </c>
      <c r="G54" s="158">
        <v>0</v>
      </c>
      <c r="H54" s="158">
        <v>0</v>
      </c>
      <c r="I54" s="158">
        <v>803349.3600000001</v>
      </c>
      <c r="J54" s="158">
        <v>876365.7</v>
      </c>
      <c r="K54" s="158">
        <v>0</v>
      </c>
      <c r="L54" s="158">
        <f t="shared" si="13"/>
        <v>876365.7</v>
      </c>
      <c r="M54" s="158">
        <v>876365.7</v>
      </c>
      <c r="N54" s="158">
        <v>0</v>
      </c>
      <c r="O54" s="158">
        <v>0</v>
      </c>
      <c r="P54" s="158">
        <f t="shared" si="14"/>
        <v>876365.7</v>
      </c>
      <c r="Q54" s="158">
        <v>73016.34</v>
      </c>
      <c r="R54" s="158">
        <f t="shared" si="6"/>
        <v>1.4551915228366852E-10</v>
      </c>
    </row>
    <row r="55" spans="1:19" ht="94.25" customHeight="1">
      <c r="A55" s="237" t="s">
        <v>218</v>
      </c>
      <c r="B55" s="167" t="s">
        <v>219</v>
      </c>
      <c r="C55" s="158">
        <v>0</v>
      </c>
      <c r="D55" s="158">
        <v>947156.60000000033</v>
      </c>
      <c r="E55" s="158">
        <f t="shared" si="12"/>
        <v>8396500</v>
      </c>
      <c r="F55" s="158">
        <v>8396500</v>
      </c>
      <c r="G55" s="158">
        <v>0</v>
      </c>
      <c r="H55" s="158">
        <v>0</v>
      </c>
      <c r="I55" s="158">
        <v>8243906.0499999998</v>
      </c>
      <c r="J55" s="158">
        <v>8189150.6500000004</v>
      </c>
      <c r="K55" s="158">
        <v>0</v>
      </c>
      <c r="L55" s="158">
        <f t="shared" si="13"/>
        <v>8189150.6500000004</v>
      </c>
      <c r="M55" s="158">
        <v>8189150.6500000004</v>
      </c>
      <c r="N55" s="158">
        <v>0</v>
      </c>
      <c r="O55" s="158">
        <v>0</v>
      </c>
      <c r="P55" s="158">
        <f t="shared" si="14"/>
        <v>8189150.6500000004</v>
      </c>
      <c r="Q55" s="158">
        <v>0</v>
      </c>
      <c r="R55" s="158">
        <f t="shared" si="6"/>
        <v>1001912</v>
      </c>
    </row>
    <row r="56" spans="1:19" ht="63">
      <c r="A56" s="237" t="s">
        <v>220</v>
      </c>
      <c r="B56" s="238" t="s">
        <v>221</v>
      </c>
      <c r="C56" s="158">
        <v>0</v>
      </c>
      <c r="D56" s="158">
        <v>1611685.9600000009</v>
      </c>
      <c r="E56" s="158">
        <f t="shared" si="12"/>
        <v>25100000</v>
      </c>
      <c r="F56" s="158">
        <v>25100000</v>
      </c>
      <c r="G56" s="158">
        <v>0</v>
      </c>
      <c r="H56" s="158">
        <v>0</v>
      </c>
      <c r="I56" s="158">
        <v>27162070.990000002</v>
      </c>
      <c r="J56" s="158">
        <v>25081644.829999998</v>
      </c>
      <c r="K56" s="158">
        <v>0</v>
      </c>
      <c r="L56" s="158">
        <f t="shared" si="13"/>
        <v>25081644.829999998</v>
      </c>
      <c r="M56" s="158">
        <v>25081644.829999998</v>
      </c>
      <c r="N56" s="158">
        <v>0</v>
      </c>
      <c r="O56" s="158">
        <v>0</v>
      </c>
      <c r="P56" s="158">
        <f t="shared" si="14"/>
        <v>25081644.829999998</v>
      </c>
      <c r="Q56" s="158">
        <v>0</v>
      </c>
      <c r="R56" s="158">
        <f t="shared" si="6"/>
        <v>3692112.1200000048</v>
      </c>
    </row>
    <row r="57" spans="1:19" ht="63">
      <c r="A57" s="239" t="s">
        <v>222</v>
      </c>
      <c r="B57" s="240" t="s">
        <v>223</v>
      </c>
      <c r="C57" s="223">
        <v>0</v>
      </c>
      <c r="D57" s="223">
        <v>0</v>
      </c>
      <c r="E57" s="158">
        <f>SUM(F57:H57)</f>
        <v>0</v>
      </c>
      <c r="F57" s="223">
        <v>0</v>
      </c>
      <c r="G57" s="223">
        <v>0</v>
      </c>
      <c r="H57" s="223">
        <v>0</v>
      </c>
      <c r="I57" s="223">
        <v>0</v>
      </c>
      <c r="J57" s="223">
        <v>0</v>
      </c>
      <c r="K57" s="223">
        <v>0</v>
      </c>
      <c r="L57" s="158">
        <f>SUM(M57:O57)</f>
        <v>0</v>
      </c>
      <c r="M57" s="223">
        <v>0</v>
      </c>
      <c r="N57" s="223">
        <v>0</v>
      </c>
      <c r="O57" s="223">
        <v>0</v>
      </c>
      <c r="P57" s="223">
        <v>0</v>
      </c>
      <c r="Q57" s="223">
        <v>0</v>
      </c>
      <c r="R57" s="223">
        <v>0</v>
      </c>
    </row>
    <row r="58" spans="1:19" s="212" customFormat="1">
      <c r="A58" s="119" t="s">
        <v>547</v>
      </c>
      <c r="S58" s="241"/>
    </row>
    <row r="59" spans="1:19" s="212" customFormat="1">
      <c r="A59" s="489" t="s">
        <v>69</v>
      </c>
      <c r="B59" s="590" t="s">
        <v>545</v>
      </c>
      <c r="C59" s="590"/>
      <c r="D59" s="590"/>
      <c r="E59" s="590"/>
      <c r="F59" s="590"/>
      <c r="G59" s="590"/>
      <c r="H59" s="590"/>
      <c r="I59" s="590"/>
      <c r="J59" s="590"/>
      <c r="K59" s="590"/>
      <c r="L59" s="590"/>
      <c r="M59" s="590"/>
      <c r="N59" s="590"/>
      <c r="O59" s="590"/>
      <c r="P59" s="590"/>
      <c r="Q59" s="590"/>
      <c r="R59" s="590"/>
      <c r="S59" s="241"/>
    </row>
    <row r="60" spans="1:19" s="244" customFormat="1" ht="29.45" customHeight="1">
      <c r="A60" s="242" t="s">
        <v>224</v>
      </c>
      <c r="B60" s="590" t="s">
        <v>225</v>
      </c>
      <c r="C60" s="590"/>
      <c r="D60" s="590"/>
      <c r="E60" s="590"/>
      <c r="F60" s="590"/>
      <c r="G60" s="590"/>
      <c r="H60" s="590"/>
      <c r="I60" s="590"/>
      <c r="J60" s="590"/>
      <c r="K60" s="590"/>
      <c r="L60" s="590"/>
      <c r="M60" s="590"/>
      <c r="N60" s="590"/>
      <c r="O60" s="590"/>
      <c r="P60" s="590"/>
      <c r="Q60" s="590"/>
      <c r="R60" s="590"/>
      <c r="S60" s="243"/>
    </row>
    <row r="61" spans="1:19" s="221" customFormat="1">
      <c r="A61" s="490" t="s">
        <v>226</v>
      </c>
      <c r="B61" s="8" t="s">
        <v>546</v>
      </c>
      <c r="C61" s="59"/>
      <c r="D61" s="59"/>
      <c r="E61" s="59"/>
      <c r="F61" s="59"/>
      <c r="G61" s="59"/>
      <c r="H61" s="8"/>
      <c r="I61" s="8"/>
      <c r="J61" s="8"/>
      <c r="K61" s="8"/>
      <c r="L61" s="8"/>
      <c r="M61" s="8"/>
      <c r="N61" s="59"/>
      <c r="O61" s="59"/>
      <c r="P61" s="59"/>
      <c r="Q61" s="59"/>
      <c r="R61" s="59"/>
    </row>
    <row r="62" spans="1:19">
      <c r="A62" s="245"/>
      <c r="B62" s="591"/>
      <c r="C62" s="591"/>
      <c r="D62" s="591"/>
      <c r="E62" s="591"/>
      <c r="F62" s="591"/>
      <c r="G62" s="591"/>
      <c r="H62" s="591"/>
      <c r="I62" s="591"/>
      <c r="J62" s="591"/>
      <c r="K62" s="591"/>
      <c r="L62" s="591"/>
      <c r="M62" s="591"/>
      <c r="N62" s="591"/>
      <c r="O62" s="591"/>
      <c r="P62" s="591"/>
      <c r="Q62" s="591"/>
      <c r="R62" s="591"/>
    </row>
    <row r="63" spans="1:19">
      <c r="A63" s="245"/>
      <c r="C63" s="59"/>
      <c r="D63" s="59"/>
      <c r="E63" s="59"/>
      <c r="F63" s="59"/>
      <c r="G63" s="59"/>
      <c r="N63" s="59"/>
      <c r="O63" s="59"/>
      <c r="Q63" s="59"/>
      <c r="R63" s="59"/>
    </row>
    <row r="64" spans="1:19">
      <c r="A64" s="8" t="s">
        <v>88</v>
      </c>
      <c r="B64" s="246"/>
      <c r="C64" s="246"/>
      <c r="D64" s="246"/>
      <c r="E64" s="246"/>
      <c r="F64" s="246"/>
      <c r="G64" s="246"/>
      <c r="N64" s="59"/>
      <c r="O64" s="59"/>
      <c r="P64" s="59"/>
      <c r="Q64" s="59" t="s">
        <v>227</v>
      </c>
      <c r="R64" s="59"/>
    </row>
    <row r="65" spans="1:17">
      <c r="B65" s="246"/>
      <c r="C65" s="246"/>
      <c r="D65" s="246"/>
      <c r="E65" s="246"/>
      <c r="F65" s="246"/>
      <c r="G65" s="246"/>
      <c r="I65" s="8" t="s">
        <v>90</v>
      </c>
    </row>
    <row r="67" spans="1:17">
      <c r="A67" s="8" t="s">
        <v>92</v>
      </c>
      <c r="Q67" s="8" t="s">
        <v>93</v>
      </c>
    </row>
    <row r="68" spans="1:17">
      <c r="I68" s="8" t="s">
        <v>90</v>
      </c>
    </row>
  </sheetData>
  <mergeCells count="25">
    <mergeCell ref="B59:R59"/>
    <mergeCell ref="B60:R60"/>
    <mergeCell ref="B62:R62"/>
    <mergeCell ref="A20:B20"/>
    <mergeCell ref="E17:E18"/>
    <mergeCell ref="F17:H17"/>
    <mergeCell ref="I17:I18"/>
    <mergeCell ref="A42:B42"/>
    <mergeCell ref="A21:A23"/>
    <mergeCell ref="A16:B16"/>
    <mergeCell ref="A17:B17"/>
    <mergeCell ref="C17:D17"/>
    <mergeCell ref="A13:R13"/>
    <mergeCell ref="A14:R14"/>
    <mergeCell ref="A15:R15"/>
    <mergeCell ref="L17:L18"/>
    <mergeCell ref="M17:O17"/>
    <mergeCell ref="P17:P18"/>
    <mergeCell ref="Q17:R17"/>
    <mergeCell ref="J17:K17"/>
    <mergeCell ref="A7:R7"/>
    <mergeCell ref="A10:R10"/>
    <mergeCell ref="A12:R12"/>
    <mergeCell ref="A8:R8"/>
    <mergeCell ref="A11:R11"/>
  </mergeCells>
  <printOptions horizontalCentered="1"/>
  <pageMargins left="0.51181102362204722" right="0.51181102362204722" top="0.55118110236220474" bottom="0.39370078740157483" header="0" footer="0"/>
  <pageSetup paperSize="9" scale="39" firstPageNumber="5" orientation="landscape" useFirstPageNumber="1" r:id="rId1"/>
  <headerFooter>
    <oddHeader>&amp;C&amp;P</oddHeader>
  </headerFooter>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2121C-6A4A-4261-8576-71A9C98BB713}">
  <dimension ref="A1:O55"/>
  <sheetViews>
    <sheetView topLeftCell="A37" zoomScaleNormal="100" zoomScaleSheetLayoutView="55" workbookViewId="0">
      <selection activeCell="F42" sqref="F42"/>
    </sheetView>
  </sheetViews>
  <sheetFormatPr defaultColWidth="9.1328125" defaultRowHeight="15.75"/>
  <cols>
    <col min="1" max="1" width="12.46484375" style="76" customWidth="1"/>
    <col min="2" max="2" width="10.46484375" style="76" customWidth="1"/>
    <col min="3" max="3" width="43.86328125" style="76" customWidth="1"/>
    <col min="4" max="4" width="17.6640625" style="76" customWidth="1"/>
    <col min="5" max="5" width="15.86328125" style="76" customWidth="1"/>
    <col min="6" max="6" width="17.1328125" style="76" customWidth="1"/>
    <col min="7" max="7" width="16" style="76" customWidth="1"/>
    <col min="8" max="8" width="18.6640625" style="76" customWidth="1"/>
    <col min="9" max="9" width="16.86328125" style="76" customWidth="1"/>
    <col min="10" max="10" width="17" style="76" customWidth="1"/>
    <col min="11" max="11" width="28.6640625" style="76" customWidth="1"/>
    <col min="12" max="12" width="24.53125" style="76" customWidth="1"/>
    <col min="13" max="13" width="16.53125" style="76" customWidth="1"/>
    <col min="14" max="14" width="11.53125" style="76" customWidth="1"/>
    <col min="15" max="16384" width="9.1328125" style="76"/>
  </cols>
  <sheetData>
    <row r="1" spans="1:10" ht="72.599999999999994" customHeight="1">
      <c r="A1" s="7"/>
      <c r="B1" s="7"/>
      <c r="C1" s="7"/>
      <c r="D1" s="7"/>
      <c r="H1" s="598" t="s">
        <v>228</v>
      </c>
      <c r="I1" s="598"/>
      <c r="J1" s="598"/>
    </row>
    <row r="2" spans="1:10">
      <c r="A2" s="7"/>
      <c r="B2" s="7"/>
      <c r="C2" s="7"/>
      <c r="D2" s="7"/>
      <c r="H2" s="8"/>
      <c r="I2" s="8"/>
      <c r="J2" s="8"/>
    </row>
    <row r="3" spans="1:10" s="92" customFormat="1">
      <c r="A3" s="599"/>
      <c r="B3" s="600"/>
      <c r="C3" s="600"/>
      <c r="D3" s="600"/>
      <c r="E3" s="600"/>
      <c r="F3" s="600"/>
      <c r="G3" s="600"/>
      <c r="H3" s="600"/>
      <c r="I3" s="600"/>
      <c r="J3" s="600"/>
    </row>
    <row r="4" spans="1:10" s="92" customFormat="1">
      <c r="A4" s="90"/>
      <c r="B4" s="91"/>
      <c r="C4" s="601" t="s">
        <v>0</v>
      </c>
      <c r="D4" s="601"/>
      <c r="E4" s="601"/>
      <c r="F4" s="601"/>
      <c r="G4" s="601"/>
      <c r="H4" s="601"/>
      <c r="I4" s="91"/>
      <c r="J4" s="91"/>
    </row>
    <row r="5" spans="1:10" s="92" customFormat="1">
      <c r="A5" s="77"/>
      <c r="B5" s="93"/>
      <c r="C5" s="93"/>
      <c r="D5" s="93"/>
      <c r="E5" s="93"/>
      <c r="F5" s="93"/>
      <c r="G5" s="93"/>
      <c r="H5" s="93"/>
      <c r="I5" s="93"/>
      <c r="J5" s="93"/>
    </row>
    <row r="6" spans="1:10" ht="17.45" customHeight="1">
      <c r="A6" s="602" t="s">
        <v>229</v>
      </c>
      <c r="B6" s="602"/>
      <c r="C6" s="602"/>
      <c r="D6" s="602"/>
      <c r="E6" s="602"/>
      <c r="F6" s="602"/>
      <c r="G6" s="602"/>
      <c r="H6" s="602"/>
      <c r="I6" s="602"/>
      <c r="J6" s="602"/>
    </row>
    <row r="7" spans="1:10">
      <c r="A7" s="534" t="s">
        <v>230</v>
      </c>
      <c r="B7" s="534"/>
      <c r="C7" s="534"/>
      <c r="D7" s="534"/>
      <c r="E7" s="534"/>
      <c r="F7" s="534"/>
      <c r="G7" s="534"/>
      <c r="H7" s="534"/>
      <c r="I7" s="534"/>
      <c r="J7" s="534"/>
    </row>
    <row r="8" spans="1:10">
      <c r="A8" s="534"/>
      <c r="B8" s="534"/>
      <c r="C8" s="534"/>
      <c r="D8" s="534"/>
      <c r="E8" s="534"/>
      <c r="F8" s="534"/>
      <c r="G8" s="534"/>
      <c r="H8" s="534"/>
      <c r="I8" s="534"/>
      <c r="J8" s="534"/>
    </row>
    <row r="9" spans="1:10">
      <c r="A9" s="534" t="s">
        <v>17</v>
      </c>
      <c r="B9" s="534"/>
      <c r="C9" s="534"/>
      <c r="D9" s="534"/>
      <c r="E9" s="534"/>
      <c r="F9" s="534"/>
      <c r="G9" s="534"/>
      <c r="H9" s="534"/>
      <c r="I9" s="534"/>
      <c r="J9" s="534"/>
    </row>
    <row r="10" spans="1:10">
      <c r="A10" s="42"/>
      <c r="B10" s="42"/>
      <c r="C10" s="42"/>
      <c r="E10" s="44"/>
      <c r="F10" s="44"/>
      <c r="G10" s="42"/>
      <c r="H10" s="42"/>
      <c r="I10" s="42"/>
      <c r="J10" s="42"/>
    </row>
    <row r="11" spans="1:10">
      <c r="A11" s="534" t="s">
        <v>3</v>
      </c>
      <c r="B11" s="534"/>
      <c r="C11" s="534"/>
      <c r="D11" s="534"/>
      <c r="E11" s="534"/>
      <c r="F11" s="534"/>
      <c r="G11" s="534"/>
      <c r="H11" s="534"/>
      <c r="I11" s="534"/>
      <c r="J11" s="534"/>
    </row>
    <row r="12" spans="1:10">
      <c r="A12" s="42"/>
      <c r="B12" s="42"/>
      <c r="C12" s="42"/>
      <c r="D12" s="42"/>
      <c r="E12" s="42"/>
      <c r="F12" s="42"/>
      <c r="G12" s="42"/>
      <c r="H12" s="42"/>
      <c r="I12" s="42"/>
      <c r="J12" s="42"/>
    </row>
    <row r="13" spans="1:10">
      <c r="A13" s="532" t="s">
        <v>231</v>
      </c>
      <c r="B13" s="532"/>
      <c r="C13" s="532"/>
      <c r="D13" s="532"/>
      <c r="G13" s="42"/>
      <c r="H13" s="42"/>
      <c r="I13" s="42"/>
      <c r="J13" s="42"/>
    </row>
    <row r="14" spans="1:10">
      <c r="A14" s="89"/>
      <c r="B14" s="89"/>
      <c r="C14" s="89"/>
      <c r="D14" s="89"/>
      <c r="G14" s="42"/>
      <c r="H14" s="42"/>
      <c r="I14" s="42"/>
      <c r="J14" s="42"/>
    </row>
    <row r="15" spans="1:10">
      <c r="A15" s="76" t="s">
        <v>232</v>
      </c>
      <c r="E15" s="603"/>
      <c r="F15" s="604"/>
      <c r="G15" s="41"/>
      <c r="I15" s="94"/>
      <c r="J15" s="94" t="s">
        <v>233</v>
      </c>
    </row>
    <row r="16" spans="1:10" ht="18.75" customHeight="1">
      <c r="A16" s="606" t="s">
        <v>234</v>
      </c>
      <c r="B16" s="606"/>
      <c r="C16" s="606"/>
      <c r="D16" s="605" t="s">
        <v>235</v>
      </c>
      <c r="E16" s="605" t="s">
        <v>236</v>
      </c>
      <c r="F16" s="605" t="s">
        <v>237</v>
      </c>
      <c r="G16" s="605" t="s">
        <v>238</v>
      </c>
      <c r="H16" s="606" t="s">
        <v>239</v>
      </c>
      <c r="I16" s="607" t="s">
        <v>160</v>
      </c>
      <c r="J16" s="607"/>
    </row>
    <row r="17" spans="1:15" ht="162.6" customHeight="1">
      <c r="A17" s="606"/>
      <c r="B17" s="606"/>
      <c r="C17" s="606"/>
      <c r="D17" s="605"/>
      <c r="E17" s="605"/>
      <c r="F17" s="605"/>
      <c r="G17" s="605"/>
      <c r="H17" s="606"/>
      <c r="I17" s="95" t="s">
        <v>78</v>
      </c>
      <c r="J17" s="95" t="s">
        <v>79</v>
      </c>
    </row>
    <row r="18" spans="1:15" s="97" customFormat="1">
      <c r="A18" s="608">
        <v>1</v>
      </c>
      <c r="B18" s="608"/>
      <c r="C18" s="608"/>
      <c r="D18" s="96">
        <v>2</v>
      </c>
      <c r="E18" s="96">
        <v>3</v>
      </c>
      <c r="F18" s="96">
        <v>4</v>
      </c>
      <c r="G18" s="96">
        <v>5</v>
      </c>
      <c r="H18" s="96">
        <v>6</v>
      </c>
      <c r="I18" s="96">
        <v>7</v>
      </c>
      <c r="J18" s="96">
        <v>8</v>
      </c>
      <c r="L18" s="98"/>
    </row>
    <row r="19" spans="1:15">
      <c r="A19" s="626" t="s">
        <v>240</v>
      </c>
      <c r="B19" s="626"/>
      <c r="C19" s="99" t="s">
        <v>241</v>
      </c>
      <c r="D19" s="100">
        <v>548326305.49000001</v>
      </c>
      <c r="E19" s="100">
        <v>0</v>
      </c>
      <c r="F19" s="100">
        <v>277780269.49000001</v>
      </c>
      <c r="G19" s="100">
        <v>0</v>
      </c>
      <c r="H19" s="101">
        <f>+D19+E19+F19+G19</f>
        <v>826106574.98000002</v>
      </c>
      <c r="I19" s="100">
        <v>59097000</v>
      </c>
      <c r="J19" s="100">
        <f>+H19-I19</f>
        <v>767009574.98000002</v>
      </c>
    </row>
    <row r="20" spans="1:15">
      <c r="A20" s="626"/>
      <c r="B20" s="626"/>
      <c r="C20" s="99" t="s">
        <v>242</v>
      </c>
      <c r="D20" s="100">
        <f>+D19</f>
        <v>548326305.49000001</v>
      </c>
      <c r="E20" s="100">
        <v>0</v>
      </c>
      <c r="F20" s="100">
        <v>277780269.49000001</v>
      </c>
      <c r="G20" s="100">
        <v>0</v>
      </c>
      <c r="H20" s="101">
        <f>+D20+E20+F20+G20</f>
        <v>826106574.98000002</v>
      </c>
      <c r="I20" s="100">
        <v>59097000</v>
      </c>
      <c r="J20" s="100">
        <f>+H20-I20</f>
        <v>767009574.98000002</v>
      </c>
      <c r="L20" s="618"/>
      <c r="M20" s="619"/>
      <c r="N20" s="619"/>
      <c r="O20" s="619"/>
    </row>
    <row r="21" spans="1:15" ht="15.75" customHeight="1">
      <c r="A21" s="626" t="s">
        <v>243</v>
      </c>
      <c r="B21" s="626"/>
      <c r="C21" s="99" t="s">
        <v>242</v>
      </c>
      <c r="D21" s="100">
        <f>+D20</f>
        <v>548326305.49000001</v>
      </c>
      <c r="E21" s="100">
        <v>0</v>
      </c>
      <c r="F21" s="100">
        <v>277780269.49000001</v>
      </c>
      <c r="G21" s="100">
        <v>0</v>
      </c>
      <c r="H21" s="101">
        <f>+D21+E21+F21+G21</f>
        <v>826106574.98000002</v>
      </c>
      <c r="I21" s="100">
        <v>59097000</v>
      </c>
      <c r="J21" s="100">
        <f>+H21-I21</f>
        <v>767009574.98000002</v>
      </c>
      <c r="K21" s="102"/>
    </row>
    <row r="22" spans="1:15">
      <c r="A22" s="626"/>
      <c r="B22" s="626"/>
      <c r="C22" s="99" t="s">
        <v>244</v>
      </c>
      <c r="D22" s="100">
        <v>0</v>
      </c>
      <c r="E22" s="100">
        <v>0</v>
      </c>
      <c r="F22" s="100">
        <v>0</v>
      </c>
      <c r="G22" s="100">
        <v>0</v>
      </c>
      <c r="H22" s="101">
        <f>+D22+E22+F22+G22</f>
        <v>0</v>
      </c>
      <c r="I22" s="100">
        <v>0</v>
      </c>
      <c r="J22" s="100">
        <f>+H22-I22</f>
        <v>0</v>
      </c>
      <c r="K22" s="102"/>
      <c r="L22" s="102"/>
    </row>
    <row r="23" spans="1:15" ht="15.6" customHeight="1">
      <c r="A23" s="620" t="s">
        <v>245</v>
      </c>
      <c r="B23" s="620"/>
      <c r="C23" s="620"/>
      <c r="D23" s="620"/>
      <c r="E23" s="620"/>
      <c r="F23" s="620"/>
      <c r="G23" s="620"/>
      <c r="H23" s="620"/>
      <c r="I23" s="620"/>
      <c r="J23" s="620"/>
    </row>
    <row r="24" spans="1:15" ht="15.75" customHeight="1">
      <c r="A24" s="103"/>
      <c r="B24" s="104"/>
      <c r="C24" s="104"/>
      <c r="D24" s="104"/>
      <c r="E24" s="104"/>
      <c r="F24" s="104"/>
      <c r="G24" s="105"/>
      <c r="H24" s="104"/>
      <c r="I24" s="104"/>
      <c r="J24" s="104"/>
    </row>
    <row r="25" spans="1:15">
      <c r="A25" s="76" t="s">
        <v>246</v>
      </c>
      <c r="B25" s="106"/>
      <c r="C25" s="107"/>
      <c r="D25" s="108"/>
      <c r="E25" s="109"/>
      <c r="F25" s="109"/>
      <c r="G25" s="109"/>
      <c r="J25" s="94" t="s">
        <v>233</v>
      </c>
      <c r="K25" s="110"/>
      <c r="L25" s="102"/>
    </row>
    <row r="26" spans="1:15" ht="47.45" customHeight="1">
      <c r="A26" s="623" t="s">
        <v>247</v>
      </c>
      <c r="B26" s="624"/>
      <c r="C26" s="625"/>
      <c r="D26" s="611" t="s">
        <v>248</v>
      </c>
      <c r="E26" s="614" t="s">
        <v>160</v>
      </c>
      <c r="F26" s="615"/>
      <c r="G26" s="582" t="s">
        <v>249</v>
      </c>
      <c r="H26" s="584" t="s">
        <v>250</v>
      </c>
      <c r="I26" s="621"/>
      <c r="J26" s="582" t="s">
        <v>251</v>
      </c>
    </row>
    <row r="27" spans="1:15" ht="35.1" customHeight="1">
      <c r="A27" s="622" t="s">
        <v>252</v>
      </c>
      <c r="B27" s="622"/>
      <c r="C27" s="622"/>
      <c r="D27" s="612"/>
      <c r="E27" s="609" t="s">
        <v>253</v>
      </c>
      <c r="F27" s="609" t="s">
        <v>254</v>
      </c>
      <c r="G27" s="582"/>
      <c r="H27" s="622" t="s">
        <v>253</v>
      </c>
      <c r="I27" s="622" t="s">
        <v>254</v>
      </c>
      <c r="J27" s="582"/>
    </row>
    <row r="28" spans="1:15" ht="15.6" customHeight="1">
      <c r="A28" s="112" t="s">
        <v>22</v>
      </c>
      <c r="B28" s="616" t="s">
        <v>107</v>
      </c>
      <c r="C28" s="617"/>
      <c r="D28" s="613"/>
      <c r="E28" s="610"/>
      <c r="F28" s="610"/>
      <c r="G28" s="582"/>
      <c r="H28" s="622"/>
      <c r="I28" s="622"/>
      <c r="J28" s="582"/>
      <c r="K28" s="110"/>
      <c r="L28" s="110"/>
    </row>
    <row r="29" spans="1:15">
      <c r="A29" s="113">
        <v>1</v>
      </c>
      <c r="B29" s="629">
        <v>2</v>
      </c>
      <c r="C29" s="629"/>
      <c r="D29" s="113">
        <v>3</v>
      </c>
      <c r="E29" s="113">
        <v>4</v>
      </c>
      <c r="F29" s="113">
        <v>5</v>
      </c>
      <c r="G29" s="113">
        <v>6</v>
      </c>
      <c r="H29" s="113">
        <v>7</v>
      </c>
      <c r="I29" s="113">
        <v>8</v>
      </c>
      <c r="J29" s="113">
        <v>9</v>
      </c>
      <c r="K29" s="110"/>
      <c r="L29" s="110"/>
    </row>
    <row r="30" spans="1:15" ht="33.6" customHeight="1">
      <c r="A30" s="114" t="s">
        <v>33</v>
      </c>
      <c r="B30" s="627" t="s">
        <v>59</v>
      </c>
      <c r="C30" s="628"/>
      <c r="D30" s="115">
        <f>+E30+F30</f>
        <v>50506655</v>
      </c>
      <c r="E30" s="115">
        <v>0</v>
      </c>
      <c r="F30" s="115">
        <v>50506655</v>
      </c>
      <c r="G30" s="115">
        <f>+H30+I30</f>
        <v>50506640.590000004</v>
      </c>
      <c r="H30" s="115">
        <v>0</v>
      </c>
      <c r="I30" s="115">
        <v>50506640.590000004</v>
      </c>
      <c r="J30" s="115">
        <f>+D30-G30</f>
        <v>14.409999996423721</v>
      </c>
      <c r="K30" s="110"/>
      <c r="L30" s="110"/>
    </row>
    <row r="31" spans="1:15" ht="45.6" customHeight="1">
      <c r="A31" s="114" t="s">
        <v>39</v>
      </c>
      <c r="B31" s="627" t="s">
        <v>255</v>
      </c>
      <c r="C31" s="628"/>
      <c r="D31" s="115">
        <f>+E31+F31</f>
        <v>0</v>
      </c>
      <c r="E31" s="115">
        <v>0</v>
      </c>
      <c r="F31" s="115">
        <v>0</v>
      </c>
      <c r="G31" s="115">
        <v>0</v>
      </c>
      <c r="H31" s="115">
        <v>0</v>
      </c>
      <c r="I31" s="115">
        <v>0</v>
      </c>
      <c r="J31" s="115">
        <f>+D31-G31</f>
        <v>0</v>
      </c>
      <c r="K31" s="110"/>
      <c r="L31" s="110"/>
    </row>
    <row r="32" spans="1:15" s="116" customFormat="1" ht="37.25" customHeight="1">
      <c r="A32" s="114" t="s">
        <v>41</v>
      </c>
      <c r="B32" s="627" t="s">
        <v>555</v>
      </c>
      <c r="C32" s="628"/>
      <c r="D32" s="115">
        <f>+E32+F32</f>
        <v>0</v>
      </c>
      <c r="E32" s="115">
        <v>0</v>
      </c>
      <c r="F32" s="115">
        <v>0</v>
      </c>
      <c r="G32" s="115">
        <v>0</v>
      </c>
      <c r="H32" s="115">
        <v>0</v>
      </c>
      <c r="I32" s="115">
        <v>0</v>
      </c>
      <c r="J32" s="115">
        <f>+D32-G32</f>
        <v>0</v>
      </c>
      <c r="K32" s="110"/>
      <c r="L32" s="110"/>
    </row>
    <row r="33" spans="1:12" ht="33" customHeight="1">
      <c r="A33" s="117" t="s">
        <v>66</v>
      </c>
      <c r="B33" s="627" t="s">
        <v>67</v>
      </c>
      <c r="C33" s="628"/>
      <c r="D33" s="115">
        <f>+E33+F33</f>
        <v>0</v>
      </c>
      <c r="E33" s="115">
        <v>0</v>
      </c>
      <c r="F33" s="115">
        <v>0</v>
      </c>
      <c r="G33" s="115">
        <f>+H33+I33</f>
        <v>0</v>
      </c>
      <c r="H33" s="115">
        <v>0</v>
      </c>
      <c r="I33" s="115">
        <v>0</v>
      </c>
      <c r="J33" s="115">
        <f>+D33-G33</f>
        <v>0</v>
      </c>
      <c r="K33" s="110"/>
      <c r="L33" s="110"/>
    </row>
    <row r="34" spans="1:12" ht="15.6" customHeight="1">
      <c r="A34" s="638" t="s">
        <v>256</v>
      </c>
      <c r="B34" s="639"/>
      <c r="C34" s="640"/>
      <c r="D34" s="118">
        <f>+E34+F34</f>
        <v>50506655</v>
      </c>
      <c r="E34" s="101">
        <f>+SUM(E30:E33)</f>
        <v>0</v>
      </c>
      <c r="F34" s="101">
        <f>+F30+F31+F32+F33</f>
        <v>50506655</v>
      </c>
      <c r="G34" s="101">
        <f>+G30+G31+G32+G33</f>
        <v>50506640.590000004</v>
      </c>
      <c r="H34" s="101">
        <f>+H30+H31+H32+H33</f>
        <v>0</v>
      </c>
      <c r="I34" s="101">
        <f>+I30+I31+I32+I33</f>
        <v>50506640.590000004</v>
      </c>
      <c r="J34" s="101">
        <f>+J30+J31+J32+J33</f>
        <v>14.409999996423721</v>
      </c>
      <c r="K34" s="110"/>
      <c r="L34" s="110"/>
    </row>
    <row r="35" spans="1:12">
      <c r="A35" s="641"/>
      <c r="B35" s="641"/>
      <c r="C35" s="641"/>
      <c r="D35" s="641"/>
      <c r="E35" s="641"/>
      <c r="F35" s="641"/>
      <c r="G35" s="641"/>
      <c r="H35" s="641"/>
      <c r="I35" s="641"/>
      <c r="J35" s="641"/>
      <c r="L35" s="102"/>
    </row>
    <row r="36" spans="1:12">
      <c r="A36" s="119"/>
      <c r="B36" s="120"/>
      <c r="C36" s="120"/>
      <c r="D36" s="120"/>
      <c r="E36" s="120"/>
      <c r="F36" s="120"/>
      <c r="G36" s="120"/>
      <c r="H36" s="120"/>
      <c r="I36" s="120"/>
      <c r="J36" s="120"/>
      <c r="L36" s="102"/>
    </row>
    <row r="37" spans="1:12">
      <c r="A37" s="119"/>
      <c r="B37" s="120"/>
      <c r="C37" s="120"/>
      <c r="D37" s="120"/>
      <c r="E37" s="120"/>
      <c r="F37" s="120"/>
      <c r="G37" s="121"/>
      <c r="H37" s="120"/>
      <c r="I37" s="120"/>
      <c r="J37" s="120"/>
      <c r="L37" s="102"/>
    </row>
    <row r="38" spans="1:12">
      <c r="A38" s="76" t="s">
        <v>257</v>
      </c>
      <c r="F38" s="94" t="s">
        <v>233</v>
      </c>
    </row>
    <row r="39" spans="1:12" ht="15.6" customHeight="1">
      <c r="A39" s="623" t="s">
        <v>258</v>
      </c>
      <c r="B39" s="624"/>
      <c r="C39" s="625"/>
      <c r="D39" s="606" t="s">
        <v>259</v>
      </c>
      <c r="E39" s="645" t="s">
        <v>160</v>
      </c>
      <c r="F39" s="646"/>
    </row>
    <row r="40" spans="1:12" ht="31.5">
      <c r="A40" s="642"/>
      <c r="B40" s="643"/>
      <c r="C40" s="644"/>
      <c r="D40" s="606"/>
      <c r="E40" s="111" t="s">
        <v>78</v>
      </c>
      <c r="F40" s="111" t="s">
        <v>79</v>
      </c>
    </row>
    <row r="41" spans="1:12">
      <c r="A41" s="632">
        <v>1</v>
      </c>
      <c r="B41" s="633"/>
      <c r="C41" s="634"/>
      <c r="D41" s="96">
        <v>2</v>
      </c>
      <c r="E41" s="96">
        <v>3</v>
      </c>
      <c r="F41" s="96">
        <v>4</v>
      </c>
    </row>
    <row r="42" spans="1:12" ht="31.35" customHeight="1">
      <c r="A42" s="626" t="s">
        <v>260</v>
      </c>
      <c r="B42" s="626"/>
      <c r="C42" s="626"/>
      <c r="D42" s="122">
        <f>+E42+F42</f>
        <v>775599934.38999999</v>
      </c>
      <c r="E42" s="122">
        <f>+I21-H34</f>
        <v>59097000</v>
      </c>
      <c r="F42" s="122">
        <f>+J21-I34</f>
        <v>716502934.38999999</v>
      </c>
      <c r="G42" s="102"/>
      <c r="H42" s="102"/>
      <c r="I42" s="102"/>
    </row>
    <row r="43" spans="1:12" ht="15.6" customHeight="1">
      <c r="A43" s="635" t="s">
        <v>548</v>
      </c>
      <c r="B43" s="635"/>
      <c r="C43" s="635"/>
      <c r="D43" s="635"/>
      <c r="E43" s="635"/>
      <c r="F43" s="635"/>
      <c r="H43" s="102"/>
    </row>
    <row r="44" spans="1:12">
      <c r="A44" s="636"/>
      <c r="B44" s="636"/>
      <c r="C44" s="636"/>
      <c r="D44" s="636"/>
      <c r="E44" s="636"/>
      <c r="F44" s="636"/>
      <c r="H44" s="102"/>
    </row>
    <row r="45" spans="1:12">
      <c r="A45" s="123"/>
      <c r="B45" s="123"/>
      <c r="C45" s="123"/>
      <c r="D45" s="123"/>
      <c r="E45" s="123"/>
      <c r="F45" s="123"/>
      <c r="H45" s="102"/>
    </row>
    <row r="46" spans="1:12">
      <c r="A46" s="637" t="s">
        <v>88</v>
      </c>
      <c r="B46" s="637"/>
      <c r="C46" s="637"/>
      <c r="D46" s="124"/>
      <c r="E46" s="124"/>
      <c r="F46" s="124"/>
      <c r="H46" s="102"/>
      <c r="I46" s="76" t="s">
        <v>89</v>
      </c>
    </row>
    <row r="47" spans="1:12">
      <c r="A47" s="125"/>
      <c r="B47" s="125"/>
      <c r="C47" s="125"/>
      <c r="D47" s="126"/>
      <c r="E47" s="93"/>
      <c r="F47" s="127" t="s">
        <v>90</v>
      </c>
      <c r="G47" s="93"/>
      <c r="H47" s="102"/>
    </row>
    <row r="48" spans="1:12">
      <c r="A48" s="618"/>
      <c r="B48" s="619"/>
      <c r="C48" s="619"/>
      <c r="D48" s="619"/>
      <c r="E48" s="619"/>
      <c r="F48" s="93"/>
      <c r="G48" s="93"/>
      <c r="H48" s="102"/>
    </row>
    <row r="49" spans="1:12">
      <c r="A49" s="630" t="s">
        <v>92</v>
      </c>
      <c r="B49" s="630"/>
      <c r="C49" s="630"/>
      <c r="D49" s="128"/>
      <c r="E49" s="129"/>
      <c r="F49" s="129"/>
      <c r="G49" s="130"/>
      <c r="H49" s="131"/>
      <c r="I49" s="131" t="s">
        <v>93</v>
      </c>
      <c r="J49" s="132"/>
      <c r="L49" s="102"/>
    </row>
    <row r="50" spans="1:12">
      <c r="A50" s="133"/>
      <c r="B50" s="133"/>
      <c r="C50" s="134"/>
      <c r="F50" s="76" t="s">
        <v>90</v>
      </c>
      <c r="H50" s="131"/>
      <c r="I50" s="631"/>
      <c r="J50" s="631"/>
    </row>
    <row r="51" spans="1:12">
      <c r="E51" s="129"/>
      <c r="F51" s="129"/>
      <c r="G51" s="130"/>
      <c r="H51" s="102"/>
      <c r="L51" s="135"/>
    </row>
    <row r="52" spans="1:12">
      <c r="A52" s="64"/>
      <c r="H52" s="102"/>
      <c r="L52" s="102"/>
    </row>
    <row r="53" spans="1:12">
      <c r="L53" s="102"/>
    </row>
    <row r="54" spans="1:12">
      <c r="H54" s="135"/>
    </row>
    <row r="55" spans="1:12">
      <c r="C55" s="116"/>
    </row>
  </sheetData>
  <mergeCells count="52">
    <mergeCell ref="A49:C49"/>
    <mergeCell ref="I50:J50"/>
    <mergeCell ref="B33:C33"/>
    <mergeCell ref="A41:C41"/>
    <mergeCell ref="A42:C42"/>
    <mergeCell ref="A43:F43"/>
    <mergeCell ref="A44:F44"/>
    <mergeCell ref="A46:C46"/>
    <mergeCell ref="A48:E48"/>
    <mergeCell ref="A34:C34"/>
    <mergeCell ref="A35:J35"/>
    <mergeCell ref="A39:C40"/>
    <mergeCell ref="D39:D40"/>
    <mergeCell ref="E39:F39"/>
    <mergeCell ref="B32:C32"/>
    <mergeCell ref="B29:C29"/>
    <mergeCell ref="B30:C30"/>
    <mergeCell ref="B31:C31"/>
    <mergeCell ref="A27:C27"/>
    <mergeCell ref="L20:O20"/>
    <mergeCell ref="A23:J23"/>
    <mergeCell ref="H26:I26"/>
    <mergeCell ref="J26:J28"/>
    <mergeCell ref="H27:H28"/>
    <mergeCell ref="F27:F28"/>
    <mergeCell ref="A26:C26"/>
    <mergeCell ref="G26:G28"/>
    <mergeCell ref="A21:B22"/>
    <mergeCell ref="I27:I28"/>
    <mergeCell ref="A19:B20"/>
    <mergeCell ref="A18:C18"/>
    <mergeCell ref="A16:C17"/>
    <mergeCell ref="D16:D17"/>
    <mergeCell ref="E27:E28"/>
    <mergeCell ref="D26:D28"/>
    <mergeCell ref="E26:F26"/>
    <mergeCell ref="B28:C28"/>
    <mergeCell ref="A9:J9"/>
    <mergeCell ref="A11:J11"/>
    <mergeCell ref="A13:D13"/>
    <mergeCell ref="E15:F15"/>
    <mergeCell ref="E16:E17"/>
    <mergeCell ref="G16:G17"/>
    <mergeCell ref="H16:H17"/>
    <mergeCell ref="I16:J16"/>
    <mergeCell ref="F16:F17"/>
    <mergeCell ref="A8:J8"/>
    <mergeCell ref="H1:J1"/>
    <mergeCell ref="A3:J3"/>
    <mergeCell ref="C4:H4"/>
    <mergeCell ref="A6:J6"/>
    <mergeCell ref="A7:J7"/>
  </mergeCells>
  <pageMargins left="0.9055118110236221" right="0.39370078740157483" top="0.74803149606299213" bottom="0.27559055118110237" header="0.31496062992125984" footer="0.31496062992125984"/>
  <pageSetup paperSize="9" scale="44" firstPageNumber="11" orientation="portrait" useFirstPageNumber="1" r:id="rId1"/>
  <headerFooter>
    <oddHeader>&amp;C&amp;P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5EBFF-8FA4-43A9-86BE-DDBCCE3E5971}">
  <sheetPr>
    <pageSetUpPr fitToPage="1"/>
  </sheetPr>
  <dimension ref="A1:P377"/>
  <sheetViews>
    <sheetView showZeros="0" topLeftCell="A365" zoomScaleNormal="100" zoomScaleSheetLayoutView="120" workbookViewId="0">
      <selection activeCell="A10" sqref="A10:L10"/>
    </sheetView>
  </sheetViews>
  <sheetFormatPr defaultColWidth="9.1328125" defaultRowHeight="13.15"/>
  <cols>
    <col min="1" max="4" width="2" style="247" customWidth="1"/>
    <col min="5" max="5" width="2.1328125" style="247" customWidth="1"/>
    <col min="6" max="6" width="3.53125" style="248" customWidth="1"/>
    <col min="7" max="7" width="34.33203125" style="247" customWidth="1"/>
    <col min="8" max="8" width="4.6640625" style="247" customWidth="1"/>
    <col min="9" max="9" width="12.46484375" style="247" customWidth="1"/>
    <col min="10" max="10" width="12.53125" style="247" customWidth="1"/>
    <col min="11" max="11" width="14.1328125" style="272" customWidth="1"/>
    <col min="12" max="12" width="14.6640625" style="247" customWidth="1"/>
    <col min="13" max="13" width="0.1328125" style="247" hidden="1" customWidth="1"/>
    <col min="14" max="14" width="6.1328125" style="247" hidden="1" customWidth="1"/>
    <col min="15" max="15" width="8.86328125" style="247" hidden="1" customWidth="1"/>
    <col min="16" max="16" width="9.1328125" style="247" hidden="1" customWidth="1"/>
    <col min="17" max="16384" width="9.1328125" style="247"/>
  </cols>
  <sheetData>
    <row r="1" spans="1:16" ht="23.45" customHeight="1">
      <c r="G1" s="249"/>
      <c r="H1" s="250"/>
      <c r="I1" s="679" t="s">
        <v>261</v>
      </c>
      <c r="J1" s="679"/>
      <c r="K1" s="679"/>
      <c r="L1" s="679"/>
      <c r="M1" s="251"/>
      <c r="N1" s="252"/>
      <c r="O1" s="252"/>
      <c r="P1" s="252"/>
    </row>
    <row r="2" spans="1:16" ht="24" customHeight="1">
      <c r="H2" s="253"/>
      <c r="I2" s="679" t="s">
        <v>262</v>
      </c>
      <c r="J2" s="679"/>
      <c r="K2" s="679"/>
      <c r="L2" s="679"/>
      <c r="M2" s="251"/>
      <c r="N2" s="252"/>
      <c r="O2" s="252"/>
      <c r="P2" s="252"/>
    </row>
    <row r="3" spans="1:16" ht="13.5" customHeight="1">
      <c r="H3" s="254"/>
      <c r="I3" s="680" t="s">
        <v>263</v>
      </c>
      <c r="J3" s="680"/>
      <c r="K3" s="680"/>
      <c r="L3" s="680"/>
      <c r="M3" s="251"/>
      <c r="N3" s="252"/>
      <c r="O3" s="252"/>
      <c r="P3" s="252"/>
    </row>
    <row r="4" spans="1:16" ht="14.25" customHeight="1">
      <c r="G4" s="255" t="s">
        <v>264</v>
      </c>
      <c r="H4" s="253"/>
      <c r="I4" s="256"/>
      <c r="J4" s="257"/>
      <c r="K4" s="258"/>
      <c r="L4" s="257"/>
      <c r="M4" s="251"/>
      <c r="N4" s="259"/>
      <c r="O4" s="259"/>
      <c r="P4" s="252"/>
    </row>
    <row r="5" spans="1:16" ht="12" customHeight="1">
      <c r="H5" s="260"/>
      <c r="I5" s="256"/>
      <c r="J5" s="257"/>
      <c r="K5" s="258"/>
      <c r="L5" s="257"/>
      <c r="M5" s="251"/>
      <c r="N5" s="252"/>
      <c r="O5" s="252"/>
      <c r="P5" s="252"/>
    </row>
    <row r="6" spans="1:16" ht="12" customHeight="1">
      <c r="H6" s="260"/>
      <c r="I6" s="256"/>
      <c r="J6" s="261"/>
      <c r="K6" s="258"/>
      <c r="L6" s="257"/>
      <c r="M6" s="251"/>
      <c r="N6" s="252"/>
      <c r="O6" s="252"/>
      <c r="P6" s="252"/>
    </row>
    <row r="7" spans="1:16" ht="12" customHeight="1">
      <c r="H7" s="260"/>
      <c r="I7" s="256"/>
      <c r="K7" s="262"/>
      <c r="L7" s="252"/>
      <c r="M7" s="251"/>
      <c r="N7" s="252"/>
      <c r="O7" s="252"/>
      <c r="P7" s="252"/>
    </row>
    <row r="8" spans="1:16" ht="18" customHeight="1">
      <c r="G8" s="263"/>
      <c r="H8" s="264"/>
      <c r="I8" s="264"/>
      <c r="J8" s="265"/>
      <c r="K8" s="266"/>
      <c r="L8" s="267"/>
      <c r="M8" s="251"/>
    </row>
    <row r="9" spans="1:16" ht="22.25" customHeight="1">
      <c r="A9" s="681" t="s">
        <v>265</v>
      </c>
      <c r="B9" s="681"/>
      <c r="C9" s="681"/>
      <c r="D9" s="681"/>
      <c r="E9" s="681"/>
      <c r="F9" s="681"/>
      <c r="G9" s="681"/>
      <c r="H9" s="681"/>
      <c r="I9" s="681"/>
      <c r="J9" s="681"/>
      <c r="K9" s="681"/>
      <c r="L9" s="681"/>
      <c r="M9" s="251"/>
    </row>
    <row r="10" spans="1:16" ht="18.75" customHeight="1">
      <c r="A10" s="676" t="s">
        <v>266</v>
      </c>
      <c r="B10" s="677"/>
      <c r="C10" s="677"/>
      <c r="D10" s="677"/>
      <c r="E10" s="677"/>
      <c r="F10" s="677"/>
      <c r="G10" s="677"/>
      <c r="H10" s="677"/>
      <c r="I10" s="677"/>
      <c r="J10" s="677"/>
      <c r="K10" s="677"/>
      <c r="L10" s="677"/>
      <c r="M10" s="251"/>
    </row>
    <row r="11" spans="1:16" ht="18.75" customHeight="1">
      <c r="A11" s="268"/>
      <c r="B11" s="269"/>
      <c r="C11" s="269"/>
      <c r="D11" s="269"/>
      <c r="E11" s="269"/>
      <c r="F11" s="269"/>
      <c r="G11" s="269"/>
      <c r="H11" s="269"/>
      <c r="I11" s="269"/>
      <c r="J11" s="269"/>
      <c r="K11" s="270"/>
      <c r="L11" s="269"/>
      <c r="M11" s="251"/>
    </row>
    <row r="12" spans="1:16" ht="14.25" customHeight="1">
      <c r="A12" s="268"/>
      <c r="B12" s="269"/>
      <c r="C12" s="269"/>
      <c r="D12" s="269"/>
      <c r="E12" s="269"/>
      <c r="F12" s="269"/>
      <c r="G12" s="569" t="s">
        <v>267</v>
      </c>
      <c r="H12" s="569"/>
      <c r="I12" s="569"/>
      <c r="J12" s="569"/>
      <c r="K12" s="569"/>
      <c r="L12" s="269"/>
      <c r="M12" s="251"/>
    </row>
    <row r="13" spans="1:16" ht="16.5" customHeight="1">
      <c r="A13" s="673" t="s">
        <v>268</v>
      </c>
      <c r="B13" s="673"/>
      <c r="C13" s="673"/>
      <c r="D13" s="673"/>
      <c r="E13" s="673"/>
      <c r="F13" s="673"/>
      <c r="G13" s="673"/>
      <c r="H13" s="673"/>
      <c r="I13" s="673"/>
      <c r="J13" s="673"/>
      <c r="K13" s="673"/>
      <c r="L13" s="673"/>
      <c r="M13" s="251"/>
      <c r="P13" s="247" t="s">
        <v>91</v>
      </c>
    </row>
    <row r="14" spans="1:16" ht="15.75" customHeight="1">
      <c r="G14" s="678" t="s">
        <v>269</v>
      </c>
      <c r="H14" s="678"/>
      <c r="I14" s="678"/>
      <c r="J14" s="678"/>
      <c r="K14" s="678"/>
      <c r="M14" s="251"/>
    </row>
    <row r="15" spans="1:16" ht="12" customHeight="1">
      <c r="G15" s="682" t="s">
        <v>270</v>
      </c>
      <c r="H15" s="682"/>
      <c r="I15" s="682"/>
      <c r="J15" s="682"/>
      <c r="K15" s="682"/>
    </row>
    <row r="16" spans="1:16" ht="12" customHeight="1">
      <c r="B16" s="673" t="s">
        <v>271</v>
      </c>
      <c r="C16" s="673"/>
      <c r="D16" s="673"/>
      <c r="E16" s="673"/>
      <c r="F16" s="673"/>
      <c r="G16" s="673"/>
      <c r="H16" s="673"/>
      <c r="I16" s="673"/>
      <c r="J16" s="673"/>
      <c r="K16" s="673"/>
      <c r="L16" s="673"/>
    </row>
    <row r="17" spans="1:13" ht="12" customHeight="1"/>
    <row r="18" spans="1:13" ht="12.75" customHeight="1">
      <c r="G18" s="674" t="s">
        <v>272</v>
      </c>
      <c r="H18" s="674"/>
      <c r="I18" s="674"/>
      <c r="J18" s="674"/>
      <c r="K18" s="674"/>
    </row>
    <row r="19" spans="1:13" ht="11.25" customHeight="1">
      <c r="G19" s="675" t="s">
        <v>273</v>
      </c>
      <c r="H19" s="675"/>
      <c r="I19" s="675"/>
      <c r="J19" s="675"/>
      <c r="K19" s="675"/>
    </row>
    <row r="20" spans="1:13" ht="11.25" customHeight="1">
      <c r="G20" s="252"/>
      <c r="H20" s="252"/>
      <c r="I20" s="252"/>
      <c r="J20" s="252"/>
      <c r="K20" s="262"/>
    </row>
    <row r="21" spans="1:13" ht="26.45" customHeight="1">
      <c r="B21" s="256"/>
      <c r="C21" s="256"/>
      <c r="D21" s="256"/>
      <c r="E21" s="656" t="s">
        <v>274</v>
      </c>
      <c r="F21" s="656"/>
      <c r="G21" s="656"/>
      <c r="H21" s="656"/>
      <c r="I21" s="656"/>
      <c r="J21" s="656"/>
      <c r="K21" s="656"/>
      <c r="L21" s="256"/>
    </row>
    <row r="22" spans="1:13" ht="12" customHeight="1">
      <c r="A22" s="657" t="s">
        <v>275</v>
      </c>
      <c r="B22" s="657"/>
      <c r="C22" s="657"/>
      <c r="D22" s="657"/>
      <c r="E22" s="657"/>
      <c r="F22" s="657"/>
      <c r="G22" s="657"/>
      <c r="H22" s="657"/>
      <c r="I22" s="657"/>
      <c r="J22" s="657"/>
      <c r="K22" s="657"/>
      <c r="L22" s="657"/>
      <c r="M22" s="273"/>
    </row>
    <row r="23" spans="1:13" ht="12" customHeight="1">
      <c r="F23" s="247"/>
      <c r="J23" s="274"/>
      <c r="K23" s="275"/>
      <c r="L23" s="276" t="s">
        <v>106</v>
      </c>
      <c r="M23" s="273"/>
    </row>
    <row r="24" spans="1:13" ht="11.25" customHeight="1">
      <c r="F24" s="247"/>
      <c r="J24" s="277" t="s">
        <v>276</v>
      </c>
      <c r="K24" s="278"/>
      <c r="L24" s="279">
        <v>90</v>
      </c>
      <c r="M24" s="273"/>
    </row>
    <row r="25" spans="1:13" ht="12" customHeight="1">
      <c r="E25" s="252"/>
      <c r="F25" s="271"/>
      <c r="I25" s="280"/>
      <c r="J25" s="280"/>
      <c r="K25" s="281" t="s">
        <v>277</v>
      </c>
      <c r="L25" s="282">
        <v>900</v>
      </c>
      <c r="M25" s="273"/>
    </row>
    <row r="26" spans="1:13" ht="12.75" customHeight="1">
      <c r="C26" s="671"/>
      <c r="D26" s="672"/>
      <c r="E26" s="672"/>
      <c r="F26" s="672"/>
      <c r="G26" s="672"/>
      <c r="H26" s="672"/>
      <c r="I26" s="672"/>
      <c r="J26" s="283"/>
      <c r="K26" s="281" t="s">
        <v>278</v>
      </c>
      <c r="L26" s="284">
        <v>1816</v>
      </c>
      <c r="M26" s="273"/>
    </row>
    <row r="27" spans="1:13" ht="12" customHeight="1">
      <c r="D27" s="283"/>
      <c r="E27" s="283"/>
      <c r="F27" s="283"/>
      <c r="G27" s="285"/>
      <c r="H27" s="286"/>
      <c r="I27" s="283"/>
      <c r="J27" s="287" t="s">
        <v>279</v>
      </c>
      <c r="K27" s="288"/>
      <c r="L27" s="282">
        <v>4</v>
      </c>
      <c r="M27" s="273"/>
    </row>
    <row r="28" spans="1:13" ht="12.75" customHeight="1">
      <c r="D28" s="283"/>
      <c r="E28" s="283"/>
      <c r="F28" s="283"/>
      <c r="G28" s="289" t="s">
        <v>280</v>
      </c>
      <c r="H28" s="290"/>
      <c r="I28" s="291"/>
      <c r="J28" s="292"/>
      <c r="K28" s="293"/>
      <c r="L28" s="282"/>
      <c r="M28" s="273"/>
    </row>
    <row r="29" spans="1:13" ht="13.5" customHeight="1">
      <c r="D29" s="283"/>
      <c r="E29" s="283"/>
      <c r="F29" s="283"/>
      <c r="G29" s="658" t="s">
        <v>281</v>
      </c>
      <c r="H29" s="658"/>
      <c r="I29" s="294"/>
      <c r="J29" s="295"/>
      <c r="K29" s="293"/>
      <c r="L29" s="282"/>
      <c r="M29" s="273"/>
    </row>
    <row r="30" spans="1:13" ht="14.25" customHeight="1">
      <c r="A30" s="296"/>
      <c r="B30" s="296"/>
      <c r="C30" s="296"/>
      <c r="D30" s="296"/>
      <c r="E30" s="296"/>
      <c r="F30" s="297"/>
      <c r="G30" s="298"/>
      <c r="I30" s="298"/>
      <c r="J30" s="298"/>
      <c r="K30" s="299"/>
      <c r="L30" s="300" t="s">
        <v>282</v>
      </c>
      <c r="M30" s="301"/>
    </row>
    <row r="31" spans="1:13" ht="24" customHeight="1">
      <c r="A31" s="659" t="s">
        <v>283</v>
      </c>
      <c r="B31" s="660"/>
      <c r="C31" s="660"/>
      <c r="D31" s="660"/>
      <c r="E31" s="660"/>
      <c r="F31" s="660"/>
      <c r="G31" s="663" t="s">
        <v>284</v>
      </c>
      <c r="H31" s="665" t="s">
        <v>285</v>
      </c>
      <c r="I31" s="667" t="s">
        <v>286</v>
      </c>
      <c r="J31" s="668"/>
      <c r="K31" s="654" t="s">
        <v>287</v>
      </c>
      <c r="L31" s="669" t="s">
        <v>288</v>
      </c>
      <c r="M31" s="301"/>
    </row>
    <row r="32" spans="1:13" ht="46.5" customHeight="1">
      <c r="A32" s="661"/>
      <c r="B32" s="662"/>
      <c r="C32" s="662"/>
      <c r="D32" s="662"/>
      <c r="E32" s="662"/>
      <c r="F32" s="662"/>
      <c r="G32" s="664"/>
      <c r="H32" s="666"/>
      <c r="I32" s="302" t="s">
        <v>289</v>
      </c>
      <c r="J32" s="303" t="s">
        <v>290</v>
      </c>
      <c r="K32" s="655"/>
      <c r="L32" s="670"/>
    </row>
    <row r="33" spans="1:12" ht="11.25" customHeight="1">
      <c r="A33" s="647" t="s">
        <v>291</v>
      </c>
      <c r="B33" s="648"/>
      <c r="C33" s="648"/>
      <c r="D33" s="648"/>
      <c r="E33" s="648"/>
      <c r="F33" s="649"/>
      <c r="G33" s="304">
        <v>2</v>
      </c>
      <c r="H33" s="305">
        <v>3</v>
      </c>
      <c r="I33" s="306" t="s">
        <v>292</v>
      </c>
      <c r="J33" s="307" t="s">
        <v>84</v>
      </c>
      <c r="K33" s="308">
        <v>6</v>
      </c>
      <c r="L33" s="308">
        <v>7</v>
      </c>
    </row>
    <row r="34" spans="1:12" s="316" customFormat="1" ht="14.25" customHeight="1">
      <c r="A34" s="309">
        <v>2</v>
      </c>
      <c r="B34" s="309"/>
      <c r="C34" s="310"/>
      <c r="D34" s="311"/>
      <c r="E34" s="309"/>
      <c r="F34" s="312"/>
      <c r="G34" s="311" t="s">
        <v>44</v>
      </c>
      <c r="H34" s="313">
        <v>1</v>
      </c>
      <c r="I34" s="314">
        <f>SUM(I35+I46+I66+I87+I94+I114+I140+I159+I169)</f>
        <v>33549400</v>
      </c>
      <c r="J34" s="314">
        <f>SUM(J35+J46+J66+J87+J94+J114+J140+J159+J169)</f>
        <v>26292400</v>
      </c>
      <c r="K34" s="315">
        <f>K35+K46+K140</f>
        <v>18238022.609999999</v>
      </c>
      <c r="L34" s="314">
        <f>SUM(L35+L46+L66+L87+L94+L114+L140+L159+L169)</f>
        <v>18235287.960000001</v>
      </c>
    </row>
    <row r="35" spans="1:12" ht="16.5" customHeight="1">
      <c r="A35" s="309">
        <v>2</v>
      </c>
      <c r="B35" s="317">
        <v>1</v>
      </c>
      <c r="C35" s="318"/>
      <c r="D35" s="319"/>
      <c r="E35" s="320"/>
      <c r="F35" s="321"/>
      <c r="G35" s="322" t="s">
        <v>293</v>
      </c>
      <c r="H35" s="313">
        <v>2</v>
      </c>
      <c r="I35" s="314">
        <f>SUM(I36+I42)</f>
        <v>20651300</v>
      </c>
      <c r="J35" s="314">
        <f>SUM(J36+J42)</f>
        <v>15631600</v>
      </c>
      <c r="K35" s="323">
        <f>K39+K41+K45</f>
        <v>11956541.16</v>
      </c>
      <c r="L35" s="324">
        <f>SUM(L36+L42)</f>
        <v>11956541.16</v>
      </c>
    </row>
    <row r="36" spans="1:12" ht="14.25" customHeight="1">
      <c r="A36" s="325">
        <v>2</v>
      </c>
      <c r="B36" s="325">
        <v>1</v>
      </c>
      <c r="C36" s="326">
        <v>1</v>
      </c>
      <c r="D36" s="327"/>
      <c r="E36" s="325"/>
      <c r="F36" s="328"/>
      <c r="G36" s="329" t="s">
        <v>294</v>
      </c>
      <c r="H36" s="313">
        <v>3</v>
      </c>
      <c r="I36" s="330">
        <f>SUM(I37)</f>
        <v>20346000</v>
      </c>
      <c r="J36" s="330">
        <f t="shared" ref="J36:L38" si="0">SUM(J37)</f>
        <v>15400500</v>
      </c>
      <c r="K36" s="331">
        <f t="shared" si="0"/>
        <v>11786114.630000001</v>
      </c>
      <c r="L36" s="330">
        <f t="shared" si="0"/>
        <v>11786114.630000001</v>
      </c>
    </row>
    <row r="37" spans="1:12" ht="13.5" customHeight="1">
      <c r="A37" s="332">
        <v>2</v>
      </c>
      <c r="B37" s="325">
        <v>1</v>
      </c>
      <c r="C37" s="326">
        <v>1</v>
      </c>
      <c r="D37" s="327">
        <v>1</v>
      </c>
      <c r="E37" s="325"/>
      <c r="F37" s="328"/>
      <c r="G37" s="327" t="s">
        <v>294</v>
      </c>
      <c r="H37" s="313">
        <v>4</v>
      </c>
      <c r="I37" s="314">
        <f>SUM(I38+I40)</f>
        <v>20346000</v>
      </c>
      <c r="J37" s="314">
        <f t="shared" ref="J37:L37" si="1">SUM(J38+J40)</f>
        <v>15400500</v>
      </c>
      <c r="K37" s="314">
        <f t="shared" si="1"/>
        <v>11786114.630000001</v>
      </c>
      <c r="L37" s="314">
        <f t="shared" si="1"/>
        <v>11786114.630000001</v>
      </c>
    </row>
    <row r="38" spans="1:12" ht="14.25" customHeight="1">
      <c r="A38" s="332">
        <v>2</v>
      </c>
      <c r="B38" s="325">
        <v>1</v>
      </c>
      <c r="C38" s="326">
        <v>1</v>
      </c>
      <c r="D38" s="327">
        <v>1</v>
      </c>
      <c r="E38" s="325">
        <v>1</v>
      </c>
      <c r="F38" s="328"/>
      <c r="G38" s="327" t="s">
        <v>295</v>
      </c>
      <c r="H38" s="313">
        <v>5</v>
      </c>
      <c r="I38" s="331">
        <f>SUM(I39)</f>
        <v>20316000</v>
      </c>
      <c r="J38" s="331">
        <f t="shared" si="0"/>
        <v>15380500</v>
      </c>
      <c r="K38" s="331">
        <f t="shared" si="0"/>
        <v>11776928.23</v>
      </c>
      <c r="L38" s="331">
        <f t="shared" si="0"/>
        <v>11776928.23</v>
      </c>
    </row>
    <row r="39" spans="1:12" ht="14.25" customHeight="1">
      <c r="A39" s="332">
        <v>2</v>
      </c>
      <c r="B39" s="325">
        <v>1</v>
      </c>
      <c r="C39" s="326">
        <v>1</v>
      </c>
      <c r="D39" s="327">
        <v>1</v>
      </c>
      <c r="E39" s="325">
        <v>1</v>
      </c>
      <c r="F39" s="328">
        <v>1</v>
      </c>
      <c r="G39" s="327" t="s">
        <v>295</v>
      </c>
      <c r="H39" s="313">
        <v>6</v>
      </c>
      <c r="I39" s="333">
        <f>14994900+5321100</f>
        <v>20316000</v>
      </c>
      <c r="J39" s="334">
        <f>10059400+5321100</f>
        <v>15380500</v>
      </c>
      <c r="K39" s="334">
        <f>6480900.16+5296028.07</f>
        <v>11776928.23</v>
      </c>
      <c r="L39" s="334">
        <f>6480900.16+5296028.07</f>
        <v>11776928.23</v>
      </c>
    </row>
    <row r="40" spans="1:12" ht="12.75" customHeight="1">
      <c r="A40" s="332">
        <v>2</v>
      </c>
      <c r="B40" s="325">
        <v>1</v>
      </c>
      <c r="C40" s="326">
        <v>1</v>
      </c>
      <c r="D40" s="327">
        <v>1</v>
      </c>
      <c r="E40" s="325">
        <v>2</v>
      </c>
      <c r="F40" s="328"/>
      <c r="G40" s="327" t="s">
        <v>296</v>
      </c>
      <c r="H40" s="313">
        <v>7</v>
      </c>
      <c r="I40" s="331">
        <f>I41</f>
        <v>30000</v>
      </c>
      <c r="J40" s="331">
        <f t="shared" ref="J40:L40" si="2">J41</f>
        <v>20000</v>
      </c>
      <c r="K40" s="331">
        <f>K41</f>
        <v>9186.4</v>
      </c>
      <c r="L40" s="331">
        <f t="shared" si="2"/>
        <v>9186.4</v>
      </c>
    </row>
    <row r="41" spans="1:12" ht="12.75" customHeight="1">
      <c r="A41" s="332">
        <v>2</v>
      </c>
      <c r="B41" s="325">
        <v>1</v>
      </c>
      <c r="C41" s="326">
        <v>1</v>
      </c>
      <c r="D41" s="327">
        <v>1</v>
      </c>
      <c r="E41" s="325">
        <v>2</v>
      </c>
      <c r="F41" s="328">
        <v>1</v>
      </c>
      <c r="G41" s="327" t="s">
        <v>296</v>
      </c>
      <c r="H41" s="313">
        <v>8</v>
      </c>
      <c r="I41" s="334">
        <v>30000</v>
      </c>
      <c r="J41" s="335">
        <v>20000</v>
      </c>
      <c r="K41" s="334">
        <v>9186.4</v>
      </c>
      <c r="L41" s="335">
        <v>9186.4</v>
      </c>
    </row>
    <row r="42" spans="1:12" ht="13.5" customHeight="1">
      <c r="A42" s="332">
        <v>2</v>
      </c>
      <c r="B42" s="325">
        <v>1</v>
      </c>
      <c r="C42" s="326">
        <v>2</v>
      </c>
      <c r="D42" s="327"/>
      <c r="E42" s="325"/>
      <c r="F42" s="328"/>
      <c r="G42" s="329" t="s">
        <v>297</v>
      </c>
      <c r="H42" s="313">
        <v>9</v>
      </c>
      <c r="I42" s="331">
        <f>I43</f>
        <v>305300</v>
      </c>
      <c r="J42" s="330">
        <f t="shared" ref="J42:L43" si="3">J43</f>
        <v>231100</v>
      </c>
      <c r="K42" s="331">
        <f t="shared" si="3"/>
        <v>170426.53</v>
      </c>
      <c r="L42" s="330">
        <f t="shared" si="3"/>
        <v>170426.53</v>
      </c>
    </row>
    <row r="43" spans="1:12">
      <c r="A43" s="332">
        <v>2</v>
      </c>
      <c r="B43" s="325">
        <v>1</v>
      </c>
      <c r="C43" s="326">
        <v>2</v>
      </c>
      <c r="D43" s="327">
        <v>1</v>
      </c>
      <c r="E43" s="325"/>
      <c r="F43" s="328"/>
      <c r="G43" s="327" t="s">
        <v>297</v>
      </c>
      <c r="H43" s="313">
        <v>10</v>
      </c>
      <c r="I43" s="331">
        <f>I44</f>
        <v>305300</v>
      </c>
      <c r="J43" s="330">
        <f t="shared" si="3"/>
        <v>231100</v>
      </c>
      <c r="K43" s="330">
        <f t="shared" si="3"/>
        <v>170426.53</v>
      </c>
      <c r="L43" s="330">
        <f t="shared" si="3"/>
        <v>170426.53</v>
      </c>
    </row>
    <row r="44" spans="1:12" ht="13.5" customHeight="1">
      <c r="A44" s="332">
        <v>2</v>
      </c>
      <c r="B44" s="325">
        <v>1</v>
      </c>
      <c r="C44" s="326">
        <v>2</v>
      </c>
      <c r="D44" s="327">
        <v>1</v>
      </c>
      <c r="E44" s="325">
        <v>1</v>
      </c>
      <c r="F44" s="328"/>
      <c r="G44" s="327" t="s">
        <v>297</v>
      </c>
      <c r="H44" s="313">
        <v>11</v>
      </c>
      <c r="I44" s="330">
        <f>I45</f>
        <v>305300</v>
      </c>
      <c r="J44" s="330">
        <f>J45</f>
        <v>231100</v>
      </c>
      <c r="K44" s="330">
        <f>K45</f>
        <v>170426.53</v>
      </c>
      <c r="L44" s="330">
        <f>L45</f>
        <v>170426.53</v>
      </c>
    </row>
    <row r="45" spans="1:12" ht="14.25" customHeight="1">
      <c r="A45" s="332">
        <v>2</v>
      </c>
      <c r="B45" s="325">
        <v>1</v>
      </c>
      <c r="C45" s="326">
        <v>2</v>
      </c>
      <c r="D45" s="327">
        <v>1</v>
      </c>
      <c r="E45" s="325">
        <v>1</v>
      </c>
      <c r="F45" s="328">
        <v>1</v>
      </c>
      <c r="G45" s="327" t="s">
        <v>297</v>
      </c>
      <c r="H45" s="313">
        <v>12</v>
      </c>
      <c r="I45" s="335">
        <f>226150+79150</f>
        <v>305300</v>
      </c>
      <c r="J45" s="334">
        <f>151950+79150</f>
        <v>231100</v>
      </c>
      <c r="K45" s="334">
        <f>93193.85+77232.68</f>
        <v>170426.53</v>
      </c>
      <c r="L45" s="334">
        <f>93193.85+77232.68</f>
        <v>170426.53</v>
      </c>
    </row>
    <row r="46" spans="1:12" ht="26.25" customHeight="1">
      <c r="A46" s="336">
        <v>2</v>
      </c>
      <c r="B46" s="337">
        <v>2</v>
      </c>
      <c r="C46" s="318"/>
      <c r="D46" s="319"/>
      <c r="E46" s="320"/>
      <c r="F46" s="321"/>
      <c r="G46" s="322" t="s">
        <v>298</v>
      </c>
      <c r="H46" s="313">
        <v>13</v>
      </c>
      <c r="I46" s="338">
        <f>I47</f>
        <v>12122100</v>
      </c>
      <c r="J46" s="339">
        <f>J47</f>
        <v>10028800</v>
      </c>
      <c r="K46" s="338">
        <f>K47</f>
        <v>5786090.4899999993</v>
      </c>
      <c r="L46" s="338">
        <f t="shared" ref="J46:L48" si="4">L47</f>
        <v>5783355.8399999999</v>
      </c>
    </row>
    <row r="47" spans="1:12" ht="27" customHeight="1">
      <c r="A47" s="332">
        <v>2</v>
      </c>
      <c r="B47" s="325">
        <v>2</v>
      </c>
      <c r="C47" s="326">
        <v>1</v>
      </c>
      <c r="D47" s="327"/>
      <c r="E47" s="325"/>
      <c r="F47" s="328"/>
      <c r="G47" s="340" t="s">
        <v>298</v>
      </c>
      <c r="H47" s="313">
        <v>14</v>
      </c>
      <c r="I47" s="330">
        <f>I48</f>
        <v>12122100</v>
      </c>
      <c r="J47" s="331">
        <f t="shared" si="4"/>
        <v>10028800</v>
      </c>
      <c r="K47" s="330">
        <f t="shared" si="4"/>
        <v>5786090.4899999993</v>
      </c>
      <c r="L47" s="331">
        <f t="shared" si="4"/>
        <v>5783355.8399999999</v>
      </c>
    </row>
    <row r="48" spans="1:12">
      <c r="A48" s="332">
        <v>2</v>
      </c>
      <c r="B48" s="325">
        <v>2</v>
      </c>
      <c r="C48" s="326">
        <v>1</v>
      </c>
      <c r="D48" s="327">
        <v>1</v>
      </c>
      <c r="E48" s="325"/>
      <c r="F48" s="328"/>
      <c r="G48" s="340" t="s">
        <v>298</v>
      </c>
      <c r="H48" s="313">
        <v>15</v>
      </c>
      <c r="I48" s="330">
        <f>I49</f>
        <v>12122100</v>
      </c>
      <c r="J48" s="331">
        <f t="shared" si="4"/>
        <v>10028800</v>
      </c>
      <c r="K48" s="341">
        <f t="shared" si="4"/>
        <v>5786090.4899999993</v>
      </c>
      <c r="L48" s="341">
        <f t="shared" si="4"/>
        <v>5783355.8399999999</v>
      </c>
    </row>
    <row r="49" spans="1:12" ht="24.75" customHeight="1">
      <c r="A49" s="342">
        <v>2</v>
      </c>
      <c r="B49" s="343">
        <v>2</v>
      </c>
      <c r="C49" s="344">
        <v>1</v>
      </c>
      <c r="D49" s="345">
        <v>1</v>
      </c>
      <c r="E49" s="343">
        <v>1</v>
      </c>
      <c r="F49" s="346"/>
      <c r="G49" s="340" t="s">
        <v>298</v>
      </c>
      <c r="H49" s="313">
        <v>16</v>
      </c>
      <c r="I49" s="347">
        <f>SUM(I50:I65)</f>
        <v>12122100</v>
      </c>
      <c r="J49" s="347">
        <f>SUM(J50:J65)</f>
        <v>10028800</v>
      </c>
      <c r="K49" s="348">
        <f>SUM(K50:K65)</f>
        <v>5786090.4899999993</v>
      </c>
      <c r="L49" s="348">
        <f>SUM(L50:L65)</f>
        <v>5783355.8399999999</v>
      </c>
    </row>
    <row r="50" spans="1:12">
      <c r="A50" s="332">
        <v>2</v>
      </c>
      <c r="B50" s="325">
        <v>2</v>
      </c>
      <c r="C50" s="326">
        <v>1</v>
      </c>
      <c r="D50" s="327">
        <v>1</v>
      </c>
      <c r="E50" s="325">
        <v>1</v>
      </c>
      <c r="F50" s="349">
        <v>1</v>
      </c>
      <c r="G50" s="327" t="s">
        <v>299</v>
      </c>
      <c r="H50" s="313">
        <v>17</v>
      </c>
      <c r="I50" s="334"/>
      <c r="J50" s="334"/>
      <c r="K50" s="334"/>
      <c r="L50" s="334"/>
    </row>
    <row r="51" spans="1:12" ht="26.25" customHeight="1">
      <c r="A51" s="332">
        <v>2</v>
      </c>
      <c r="B51" s="325">
        <v>2</v>
      </c>
      <c r="C51" s="326">
        <v>1</v>
      </c>
      <c r="D51" s="327">
        <v>1</v>
      </c>
      <c r="E51" s="325">
        <v>1</v>
      </c>
      <c r="F51" s="328">
        <v>2</v>
      </c>
      <c r="G51" s="327" t="s">
        <v>300</v>
      </c>
      <c r="H51" s="313">
        <v>18</v>
      </c>
      <c r="I51" s="334">
        <f>25000+2000</f>
        <v>27000</v>
      </c>
      <c r="J51" s="334">
        <f>15700+2000</f>
        <v>17700</v>
      </c>
      <c r="K51" s="334">
        <f>153.5+771.04</f>
        <v>924.54</v>
      </c>
      <c r="L51" s="334">
        <f>153.5+771.04</f>
        <v>924.54</v>
      </c>
    </row>
    <row r="52" spans="1:12" ht="26.25" customHeight="1">
      <c r="A52" s="332">
        <v>2</v>
      </c>
      <c r="B52" s="325">
        <v>2</v>
      </c>
      <c r="C52" s="326">
        <v>1</v>
      </c>
      <c r="D52" s="327">
        <v>1</v>
      </c>
      <c r="E52" s="325">
        <v>1</v>
      </c>
      <c r="F52" s="328">
        <v>5</v>
      </c>
      <c r="G52" s="327" t="s">
        <v>301</v>
      </c>
      <c r="H52" s="313">
        <v>19</v>
      </c>
      <c r="I52" s="334">
        <f>122800+27000</f>
        <v>149800</v>
      </c>
      <c r="J52" s="334">
        <f>88800+27000</f>
        <v>115800</v>
      </c>
      <c r="K52" s="334">
        <f>78857.61+14802.13</f>
        <v>93659.74</v>
      </c>
      <c r="L52" s="334">
        <f>78857.61+14802.13</f>
        <v>93659.74</v>
      </c>
    </row>
    <row r="53" spans="1:12" ht="27" customHeight="1">
      <c r="A53" s="332">
        <v>2</v>
      </c>
      <c r="B53" s="325">
        <v>2</v>
      </c>
      <c r="C53" s="326">
        <v>1</v>
      </c>
      <c r="D53" s="327">
        <v>1</v>
      </c>
      <c r="E53" s="325">
        <v>1</v>
      </c>
      <c r="F53" s="328">
        <v>6</v>
      </c>
      <c r="G53" s="327" t="s">
        <v>302</v>
      </c>
      <c r="H53" s="313">
        <v>20</v>
      </c>
      <c r="I53" s="334">
        <f>43300+26000</f>
        <v>69300</v>
      </c>
      <c r="J53" s="334">
        <f>29000+26000</f>
        <v>55000</v>
      </c>
      <c r="K53" s="334">
        <f>13260.15+10584.69</f>
        <v>23844.84</v>
      </c>
      <c r="L53" s="334">
        <f>13260.15+10584.69</f>
        <v>23844.84</v>
      </c>
    </row>
    <row r="54" spans="1:12" ht="26.25" customHeight="1">
      <c r="A54" s="350">
        <v>2</v>
      </c>
      <c r="B54" s="320">
        <v>2</v>
      </c>
      <c r="C54" s="318">
        <v>1</v>
      </c>
      <c r="D54" s="319">
        <v>1</v>
      </c>
      <c r="E54" s="320">
        <v>1</v>
      </c>
      <c r="F54" s="321">
        <v>7</v>
      </c>
      <c r="G54" s="319" t="s">
        <v>303</v>
      </c>
      <c r="H54" s="313">
        <v>21</v>
      </c>
      <c r="I54" s="334">
        <f>1000+4600</f>
        <v>5600</v>
      </c>
      <c r="J54" s="351">
        <f>4600</f>
        <v>4600</v>
      </c>
      <c r="K54" s="334">
        <f>2543.85</f>
        <v>2543.85</v>
      </c>
      <c r="L54" s="334">
        <f>2543.85</f>
        <v>2543.85</v>
      </c>
    </row>
    <row r="55" spans="1:12" ht="12" customHeight="1">
      <c r="A55" s="332">
        <v>2</v>
      </c>
      <c r="B55" s="325">
        <v>2</v>
      </c>
      <c r="C55" s="326">
        <v>1</v>
      </c>
      <c r="D55" s="327">
        <v>1</v>
      </c>
      <c r="E55" s="325">
        <v>1</v>
      </c>
      <c r="F55" s="328">
        <v>11</v>
      </c>
      <c r="G55" s="327" t="s">
        <v>304</v>
      </c>
      <c r="H55" s="313">
        <v>22</v>
      </c>
      <c r="I55" s="335">
        <f>136900+9700</f>
        <v>146600</v>
      </c>
      <c r="J55" s="334">
        <f>102900+9700</f>
        <v>112600</v>
      </c>
      <c r="K55" s="334">
        <f>55790.99+2853.15</f>
        <v>58644.14</v>
      </c>
      <c r="L55" s="352">
        <f>55790.99+2853.15</f>
        <v>58644.14</v>
      </c>
    </row>
    <row r="56" spans="1:12" ht="15.75" customHeight="1">
      <c r="A56" s="342">
        <v>2</v>
      </c>
      <c r="B56" s="353">
        <v>2</v>
      </c>
      <c r="C56" s="354">
        <v>1</v>
      </c>
      <c r="D56" s="354">
        <v>1</v>
      </c>
      <c r="E56" s="354">
        <v>1</v>
      </c>
      <c r="F56" s="355">
        <v>12</v>
      </c>
      <c r="G56" s="356" t="s">
        <v>305</v>
      </c>
      <c r="H56" s="313">
        <v>23</v>
      </c>
      <c r="I56" s="357"/>
      <c r="J56" s="334"/>
      <c r="K56" s="334"/>
      <c r="L56" s="334"/>
    </row>
    <row r="57" spans="1:12" ht="26.25">
      <c r="A57" s="332">
        <v>2</v>
      </c>
      <c r="B57" s="325">
        <v>2</v>
      </c>
      <c r="C57" s="326">
        <v>1</v>
      </c>
      <c r="D57" s="326">
        <v>1</v>
      </c>
      <c r="E57" s="326">
        <v>1</v>
      </c>
      <c r="F57" s="328">
        <v>14</v>
      </c>
      <c r="G57" s="358" t="s">
        <v>306</v>
      </c>
      <c r="H57" s="313">
        <v>24</v>
      </c>
      <c r="I57" s="335">
        <f>392600+138700</f>
        <v>531300</v>
      </c>
      <c r="J57" s="335">
        <f>260400+138700</f>
        <v>399100</v>
      </c>
      <c r="K57" s="335">
        <f>173293.78+131482.68</f>
        <v>304776.45999999996</v>
      </c>
      <c r="L57" s="335">
        <f>173293.78+131482.68</f>
        <v>304776.45999999996</v>
      </c>
    </row>
    <row r="58" spans="1:12" ht="27.75" customHeight="1">
      <c r="A58" s="332">
        <v>2</v>
      </c>
      <c r="B58" s="325">
        <v>2</v>
      </c>
      <c r="C58" s="326">
        <v>1</v>
      </c>
      <c r="D58" s="326">
        <v>1</v>
      </c>
      <c r="E58" s="326">
        <v>1</v>
      </c>
      <c r="F58" s="328">
        <v>15</v>
      </c>
      <c r="G58" s="329" t="s">
        <v>307</v>
      </c>
      <c r="H58" s="313">
        <v>25</v>
      </c>
      <c r="I58" s="335">
        <f>74300+20400</f>
        <v>94700</v>
      </c>
      <c r="J58" s="334">
        <f>66600+20400</f>
        <v>87000</v>
      </c>
      <c r="K58" s="334">
        <f>268.23+6565.71</f>
        <v>6833.9400000000005</v>
      </c>
      <c r="L58" s="334">
        <f>268.23+6565.71</f>
        <v>6833.9400000000005</v>
      </c>
    </row>
    <row r="59" spans="1:12">
      <c r="A59" s="332">
        <v>2</v>
      </c>
      <c r="B59" s="325">
        <v>2</v>
      </c>
      <c r="C59" s="326">
        <v>1</v>
      </c>
      <c r="D59" s="326">
        <v>1</v>
      </c>
      <c r="E59" s="326">
        <v>1</v>
      </c>
      <c r="F59" s="328">
        <v>16</v>
      </c>
      <c r="G59" s="327" t="s">
        <v>308</v>
      </c>
      <c r="H59" s="313">
        <v>26</v>
      </c>
      <c r="I59" s="335">
        <f>189900+28500</f>
        <v>218400</v>
      </c>
      <c r="J59" s="334">
        <f>105100+28500</f>
        <v>133600</v>
      </c>
      <c r="K59" s="334">
        <f>45354.8+15357.48</f>
        <v>60712.28</v>
      </c>
      <c r="L59" s="334">
        <f>45354.8+15357.48</f>
        <v>60712.28</v>
      </c>
    </row>
    <row r="60" spans="1:12" ht="27.75" customHeight="1">
      <c r="A60" s="332">
        <v>2</v>
      </c>
      <c r="B60" s="325">
        <v>2</v>
      </c>
      <c r="C60" s="326">
        <v>1</v>
      </c>
      <c r="D60" s="326">
        <v>1</v>
      </c>
      <c r="E60" s="326">
        <v>1</v>
      </c>
      <c r="F60" s="328">
        <v>17</v>
      </c>
      <c r="G60" s="327" t="s">
        <v>309</v>
      </c>
      <c r="H60" s="313">
        <v>27</v>
      </c>
      <c r="I60" s="335">
        <v>75000</v>
      </c>
      <c r="J60" s="335">
        <v>70000</v>
      </c>
      <c r="K60" s="335">
        <v>17757.96</v>
      </c>
      <c r="L60" s="335">
        <v>17757.96</v>
      </c>
    </row>
    <row r="61" spans="1:12" ht="14.25" customHeight="1">
      <c r="A61" s="332">
        <v>2</v>
      </c>
      <c r="B61" s="325">
        <v>2</v>
      </c>
      <c r="C61" s="326">
        <v>1</v>
      </c>
      <c r="D61" s="326">
        <v>1</v>
      </c>
      <c r="E61" s="326">
        <v>1</v>
      </c>
      <c r="F61" s="328">
        <v>20</v>
      </c>
      <c r="G61" s="327" t="s">
        <v>310</v>
      </c>
      <c r="H61" s="313">
        <v>28</v>
      </c>
      <c r="I61" s="335">
        <f>591800+104500</f>
        <v>696300</v>
      </c>
      <c r="J61" s="334">
        <f>440400+104500</f>
        <v>544900</v>
      </c>
      <c r="K61" s="334">
        <f>112852.5+87181.45</f>
        <v>200033.95</v>
      </c>
      <c r="L61" s="334">
        <f>112842.5+87181.45</f>
        <v>200023.95</v>
      </c>
    </row>
    <row r="62" spans="1:12" ht="27.75" customHeight="1">
      <c r="A62" s="359">
        <v>2</v>
      </c>
      <c r="B62" s="360">
        <v>2</v>
      </c>
      <c r="C62" s="361">
        <v>1</v>
      </c>
      <c r="D62" s="361">
        <v>1</v>
      </c>
      <c r="E62" s="361">
        <v>1</v>
      </c>
      <c r="F62" s="362">
        <v>21</v>
      </c>
      <c r="G62" s="329" t="s">
        <v>311</v>
      </c>
      <c r="H62" s="313">
        <v>29</v>
      </c>
      <c r="I62" s="335">
        <f>7623500+68700</f>
        <v>7692200</v>
      </c>
      <c r="J62" s="334">
        <f>6443400+68700</f>
        <v>6512100</v>
      </c>
      <c r="K62" s="334">
        <f>4323922.37+26208.39</f>
        <v>4350130.76</v>
      </c>
      <c r="L62" s="334">
        <f>4321425.13+26208.39</f>
        <v>4347633.5199999996</v>
      </c>
    </row>
    <row r="63" spans="1:12" ht="12" customHeight="1">
      <c r="A63" s="359">
        <v>2</v>
      </c>
      <c r="B63" s="360">
        <v>2</v>
      </c>
      <c r="C63" s="361">
        <v>1</v>
      </c>
      <c r="D63" s="361">
        <v>1</v>
      </c>
      <c r="E63" s="361">
        <v>1</v>
      </c>
      <c r="F63" s="362">
        <v>22</v>
      </c>
      <c r="G63" s="329" t="s">
        <v>312</v>
      </c>
      <c r="H63" s="313">
        <v>30</v>
      </c>
      <c r="I63" s="335">
        <f>59200+17500</f>
        <v>76700</v>
      </c>
      <c r="J63" s="334">
        <f>43500+17500</f>
        <v>61000</v>
      </c>
      <c r="K63" s="334">
        <f>6328.26+10480.9</f>
        <v>16809.16</v>
      </c>
      <c r="L63" s="334">
        <f>6147.51+10480.9</f>
        <v>16628.41</v>
      </c>
    </row>
    <row r="64" spans="1:12" ht="12" customHeight="1">
      <c r="A64" s="359">
        <v>2</v>
      </c>
      <c r="B64" s="360">
        <v>2</v>
      </c>
      <c r="C64" s="361">
        <v>1</v>
      </c>
      <c r="D64" s="361">
        <v>1</v>
      </c>
      <c r="E64" s="361">
        <v>1</v>
      </c>
      <c r="F64" s="362">
        <v>23</v>
      </c>
      <c r="G64" s="329" t="s">
        <v>313</v>
      </c>
      <c r="H64" s="313">
        <v>31</v>
      </c>
      <c r="I64" s="335">
        <f>261000+71400</f>
        <v>332400</v>
      </c>
      <c r="J64" s="334">
        <f>255900+71400</f>
        <v>327300</v>
      </c>
      <c r="K64" s="334">
        <f>138628.49+61918.24</f>
        <v>200546.72999999998</v>
      </c>
      <c r="L64" s="334">
        <f>138628.49+61918.24</f>
        <v>200546.72999999998</v>
      </c>
    </row>
    <row r="65" spans="1:12" ht="15" customHeight="1">
      <c r="A65" s="332">
        <v>2</v>
      </c>
      <c r="B65" s="325">
        <v>2</v>
      </c>
      <c r="C65" s="326">
        <v>1</v>
      </c>
      <c r="D65" s="326">
        <v>1</v>
      </c>
      <c r="E65" s="326">
        <v>1</v>
      </c>
      <c r="F65" s="328">
        <v>30</v>
      </c>
      <c r="G65" s="329" t="s">
        <v>314</v>
      </c>
      <c r="H65" s="313">
        <v>32</v>
      </c>
      <c r="I65" s="335">
        <f>1841600+165200</f>
        <v>2006800</v>
      </c>
      <c r="J65" s="334">
        <f>1422900+165200</f>
        <v>1588100</v>
      </c>
      <c r="K65" s="334">
        <f>348532.81+100339.33</f>
        <v>448872.14</v>
      </c>
      <c r="L65" s="334">
        <f>348486.15+100339.33</f>
        <v>448825.48000000004</v>
      </c>
    </row>
    <row r="66" spans="1:12" ht="14.25" customHeight="1">
      <c r="A66" s="363">
        <v>2</v>
      </c>
      <c r="B66" s="364">
        <v>3</v>
      </c>
      <c r="C66" s="317"/>
      <c r="D66" s="318"/>
      <c r="E66" s="318"/>
      <c r="F66" s="321"/>
      <c r="G66" s="365" t="s">
        <v>315</v>
      </c>
      <c r="H66" s="313">
        <v>33</v>
      </c>
      <c r="I66" s="366">
        <f>I67</f>
        <v>0</v>
      </c>
      <c r="J66" s="366">
        <f t="shared" ref="J66:L66" si="5">J67</f>
        <v>0</v>
      </c>
      <c r="K66" s="366"/>
      <c r="L66" s="366">
        <f t="shared" si="5"/>
        <v>0</v>
      </c>
    </row>
    <row r="67" spans="1:12" ht="13.5" customHeight="1">
      <c r="A67" s="332">
        <v>2</v>
      </c>
      <c r="B67" s="325">
        <v>3</v>
      </c>
      <c r="C67" s="326">
        <v>1</v>
      </c>
      <c r="D67" s="326"/>
      <c r="E67" s="326"/>
      <c r="F67" s="328"/>
      <c r="G67" s="329" t="s">
        <v>316</v>
      </c>
      <c r="H67" s="313">
        <v>34</v>
      </c>
      <c r="I67" s="330">
        <f>SUM(I68+I73+I78)</f>
        <v>0</v>
      </c>
      <c r="J67" s="367">
        <f>SUM(J68+J73+J78)</f>
        <v>0</v>
      </c>
      <c r="K67" s="331">
        <f>SUM(K68+K73+K78)</f>
        <v>0</v>
      </c>
      <c r="L67" s="330">
        <f>SUM(L68+L73+L78)</f>
        <v>0</v>
      </c>
    </row>
    <row r="68" spans="1:12" ht="15" customHeight="1">
      <c r="A68" s="332">
        <v>2</v>
      </c>
      <c r="B68" s="325">
        <v>3</v>
      </c>
      <c r="C68" s="326">
        <v>1</v>
      </c>
      <c r="D68" s="326">
        <v>1</v>
      </c>
      <c r="E68" s="326"/>
      <c r="F68" s="328"/>
      <c r="G68" s="329" t="s">
        <v>317</v>
      </c>
      <c r="H68" s="313">
        <v>35</v>
      </c>
      <c r="I68" s="330">
        <f>I69</f>
        <v>0</v>
      </c>
      <c r="J68" s="367">
        <f>J69</f>
        <v>0</v>
      </c>
      <c r="K68" s="331">
        <f>K69</f>
        <v>0</v>
      </c>
      <c r="L68" s="330">
        <f>L69</f>
        <v>0</v>
      </c>
    </row>
    <row r="69" spans="1:12" ht="13.5" customHeight="1">
      <c r="A69" s="332">
        <v>2</v>
      </c>
      <c r="B69" s="325">
        <v>3</v>
      </c>
      <c r="C69" s="326">
        <v>1</v>
      </c>
      <c r="D69" s="326">
        <v>1</v>
      </c>
      <c r="E69" s="326">
        <v>1</v>
      </c>
      <c r="F69" s="328"/>
      <c r="G69" s="329" t="s">
        <v>317</v>
      </c>
      <c r="H69" s="313">
        <v>36</v>
      </c>
      <c r="I69" s="330">
        <f>SUM(I70:I72)</f>
        <v>0</v>
      </c>
      <c r="J69" s="367">
        <f>SUM(J70:J72)</f>
        <v>0</v>
      </c>
      <c r="K69" s="331">
        <f>SUM(K70:K72)</f>
        <v>0</v>
      </c>
      <c r="L69" s="330">
        <f>SUM(L70:L72)</f>
        <v>0</v>
      </c>
    </row>
    <row r="70" spans="1:12" s="368" customFormat="1" ht="25.5" customHeight="1">
      <c r="A70" s="332">
        <v>2</v>
      </c>
      <c r="B70" s="325">
        <v>3</v>
      </c>
      <c r="C70" s="326">
        <v>1</v>
      </c>
      <c r="D70" s="326">
        <v>1</v>
      </c>
      <c r="E70" s="326">
        <v>1</v>
      </c>
      <c r="F70" s="328">
        <v>1</v>
      </c>
      <c r="G70" s="327" t="s">
        <v>318</v>
      </c>
      <c r="H70" s="313">
        <v>37</v>
      </c>
      <c r="I70" s="335"/>
      <c r="J70" s="335"/>
      <c r="K70" s="335"/>
      <c r="L70" s="335"/>
    </row>
    <row r="71" spans="1:12" ht="19.5" customHeight="1">
      <c r="A71" s="332">
        <v>2</v>
      </c>
      <c r="B71" s="320">
        <v>3</v>
      </c>
      <c r="C71" s="318">
        <v>1</v>
      </c>
      <c r="D71" s="318">
        <v>1</v>
      </c>
      <c r="E71" s="318">
        <v>1</v>
      </c>
      <c r="F71" s="321">
        <v>2</v>
      </c>
      <c r="G71" s="319" t="s">
        <v>319</v>
      </c>
      <c r="H71" s="313">
        <v>38</v>
      </c>
      <c r="I71" s="333"/>
      <c r="J71" s="333"/>
      <c r="K71" s="333"/>
      <c r="L71" s="333"/>
    </row>
    <row r="72" spans="1:12" ht="16.5" customHeight="1">
      <c r="A72" s="325">
        <v>2</v>
      </c>
      <c r="B72" s="326">
        <v>3</v>
      </c>
      <c r="C72" s="326">
        <v>1</v>
      </c>
      <c r="D72" s="326">
        <v>1</v>
      </c>
      <c r="E72" s="326">
        <v>1</v>
      </c>
      <c r="F72" s="328">
        <v>3</v>
      </c>
      <c r="G72" s="327" t="s">
        <v>320</v>
      </c>
      <c r="H72" s="313">
        <v>39</v>
      </c>
      <c r="I72" s="335"/>
      <c r="J72" s="335"/>
      <c r="K72" s="335"/>
      <c r="L72" s="335"/>
    </row>
    <row r="73" spans="1:12" ht="29.25" customHeight="1">
      <c r="A73" s="320">
        <v>2</v>
      </c>
      <c r="B73" s="318">
        <v>3</v>
      </c>
      <c r="C73" s="318">
        <v>1</v>
      </c>
      <c r="D73" s="318">
        <v>2</v>
      </c>
      <c r="E73" s="318"/>
      <c r="F73" s="321"/>
      <c r="G73" s="340" t="s">
        <v>321</v>
      </c>
      <c r="H73" s="313">
        <v>40</v>
      </c>
      <c r="I73" s="366">
        <f>I74</f>
        <v>0</v>
      </c>
      <c r="J73" s="369">
        <f>J74</f>
        <v>0</v>
      </c>
      <c r="K73" s="370">
        <f>K74</f>
        <v>0</v>
      </c>
      <c r="L73" s="370">
        <f>L74</f>
        <v>0</v>
      </c>
    </row>
    <row r="74" spans="1:12" ht="27" customHeight="1">
      <c r="A74" s="343">
        <v>2</v>
      </c>
      <c r="B74" s="344">
        <v>3</v>
      </c>
      <c r="C74" s="344">
        <v>1</v>
      </c>
      <c r="D74" s="344">
        <v>2</v>
      </c>
      <c r="E74" s="344">
        <v>1</v>
      </c>
      <c r="F74" s="346"/>
      <c r="G74" s="340" t="s">
        <v>321</v>
      </c>
      <c r="H74" s="313">
        <v>41</v>
      </c>
      <c r="I74" s="341">
        <f>SUM(I75:I77)</f>
        <v>0</v>
      </c>
      <c r="J74" s="371">
        <f>SUM(J75:J77)</f>
        <v>0</v>
      </c>
      <c r="K74" s="372">
        <f>SUM(K75:K77)</f>
        <v>0</v>
      </c>
      <c r="L74" s="331">
        <f>SUM(L75:L77)</f>
        <v>0</v>
      </c>
    </row>
    <row r="75" spans="1:12" s="368" customFormat="1" ht="27" customHeight="1">
      <c r="A75" s="325">
        <v>2</v>
      </c>
      <c r="B75" s="326">
        <v>3</v>
      </c>
      <c r="C75" s="326">
        <v>1</v>
      </c>
      <c r="D75" s="326">
        <v>2</v>
      </c>
      <c r="E75" s="326">
        <v>1</v>
      </c>
      <c r="F75" s="328">
        <v>1</v>
      </c>
      <c r="G75" s="332" t="s">
        <v>318</v>
      </c>
      <c r="H75" s="313">
        <v>42</v>
      </c>
      <c r="I75" s="335"/>
      <c r="J75" s="335"/>
      <c r="K75" s="335"/>
      <c r="L75" s="335"/>
    </row>
    <row r="76" spans="1:12" ht="16.5" customHeight="1">
      <c r="A76" s="325">
        <v>2</v>
      </c>
      <c r="B76" s="326">
        <v>3</v>
      </c>
      <c r="C76" s="326">
        <v>1</v>
      </c>
      <c r="D76" s="326">
        <v>2</v>
      </c>
      <c r="E76" s="326">
        <v>1</v>
      </c>
      <c r="F76" s="328">
        <v>2</v>
      </c>
      <c r="G76" s="332" t="s">
        <v>319</v>
      </c>
      <c r="H76" s="313">
        <v>43</v>
      </c>
      <c r="I76" s="335"/>
      <c r="J76" s="335"/>
      <c r="K76" s="335"/>
      <c r="L76" s="335"/>
    </row>
    <row r="77" spans="1:12" ht="15" customHeight="1">
      <c r="A77" s="325">
        <v>2</v>
      </c>
      <c r="B77" s="326">
        <v>3</v>
      </c>
      <c r="C77" s="326">
        <v>1</v>
      </c>
      <c r="D77" s="326">
        <v>2</v>
      </c>
      <c r="E77" s="326">
        <v>1</v>
      </c>
      <c r="F77" s="328">
        <v>3</v>
      </c>
      <c r="G77" s="359" t="s">
        <v>320</v>
      </c>
      <c r="H77" s="313">
        <v>44</v>
      </c>
      <c r="I77" s="335"/>
      <c r="J77" s="335"/>
      <c r="K77" s="335"/>
      <c r="L77" s="335"/>
    </row>
    <row r="78" spans="1:12" ht="27.75" customHeight="1">
      <c r="A78" s="325">
        <v>2</v>
      </c>
      <c r="B78" s="326">
        <v>3</v>
      </c>
      <c r="C78" s="326">
        <v>1</v>
      </c>
      <c r="D78" s="326">
        <v>3</v>
      </c>
      <c r="E78" s="326"/>
      <c r="F78" s="328"/>
      <c r="G78" s="359" t="s">
        <v>322</v>
      </c>
      <c r="H78" s="313">
        <v>45</v>
      </c>
      <c r="I78" s="330">
        <f>I79</f>
        <v>0</v>
      </c>
      <c r="J78" s="367">
        <f>J79</f>
        <v>0</v>
      </c>
      <c r="K78" s="331">
        <f>K79</f>
        <v>0</v>
      </c>
      <c r="L78" s="331">
        <f>L79</f>
        <v>0</v>
      </c>
    </row>
    <row r="79" spans="1:12" ht="26.25" customHeight="1">
      <c r="A79" s="325">
        <v>2</v>
      </c>
      <c r="B79" s="326">
        <v>3</v>
      </c>
      <c r="C79" s="326">
        <v>1</v>
      </c>
      <c r="D79" s="326">
        <v>3</v>
      </c>
      <c r="E79" s="326">
        <v>1</v>
      </c>
      <c r="F79" s="328"/>
      <c r="G79" s="359" t="s">
        <v>323</v>
      </c>
      <c r="H79" s="313">
        <v>46</v>
      </c>
      <c r="I79" s="330">
        <f>SUM(I80:I82)</f>
        <v>0</v>
      </c>
      <c r="J79" s="367">
        <f>SUM(J80:J82)</f>
        <v>0</v>
      </c>
      <c r="K79" s="331">
        <f>SUM(K80:K82)</f>
        <v>0</v>
      </c>
      <c r="L79" s="331">
        <f>SUM(L80:L82)</f>
        <v>0</v>
      </c>
    </row>
    <row r="80" spans="1:12" ht="15" customHeight="1">
      <c r="A80" s="320">
        <v>2</v>
      </c>
      <c r="B80" s="318">
        <v>3</v>
      </c>
      <c r="C80" s="318">
        <v>1</v>
      </c>
      <c r="D80" s="318">
        <v>3</v>
      </c>
      <c r="E80" s="318">
        <v>1</v>
      </c>
      <c r="F80" s="321">
        <v>1</v>
      </c>
      <c r="G80" s="373" t="s">
        <v>324</v>
      </c>
      <c r="H80" s="313">
        <v>47</v>
      </c>
      <c r="I80" s="333"/>
      <c r="J80" s="333"/>
      <c r="K80" s="333"/>
      <c r="L80" s="333"/>
    </row>
    <row r="81" spans="1:12" ht="16.5" customHeight="1">
      <c r="A81" s="325">
        <v>2</v>
      </c>
      <c r="B81" s="326">
        <v>3</v>
      </c>
      <c r="C81" s="326">
        <v>1</v>
      </c>
      <c r="D81" s="326">
        <v>3</v>
      </c>
      <c r="E81" s="326">
        <v>1</v>
      </c>
      <c r="F81" s="328">
        <v>2</v>
      </c>
      <c r="G81" s="359" t="s">
        <v>325</v>
      </c>
      <c r="H81" s="313">
        <v>48</v>
      </c>
      <c r="I81" s="335"/>
      <c r="J81" s="335"/>
      <c r="K81" s="335"/>
      <c r="L81" s="335"/>
    </row>
    <row r="82" spans="1:12" ht="17.25" customHeight="1">
      <c r="A82" s="320">
        <v>2</v>
      </c>
      <c r="B82" s="318">
        <v>3</v>
      </c>
      <c r="C82" s="318">
        <v>1</v>
      </c>
      <c r="D82" s="318">
        <v>3</v>
      </c>
      <c r="E82" s="318">
        <v>1</v>
      </c>
      <c r="F82" s="321">
        <v>3</v>
      </c>
      <c r="G82" s="373" t="s">
        <v>326</v>
      </c>
      <c r="H82" s="313">
        <v>49</v>
      </c>
      <c r="I82" s="333"/>
      <c r="J82" s="333"/>
      <c r="K82" s="333"/>
      <c r="L82" s="333"/>
    </row>
    <row r="83" spans="1:12" ht="12.75" customHeight="1">
      <c r="A83" s="320">
        <v>2</v>
      </c>
      <c r="B83" s="318">
        <v>3</v>
      </c>
      <c r="C83" s="318">
        <v>2</v>
      </c>
      <c r="D83" s="318"/>
      <c r="E83" s="318"/>
      <c r="F83" s="321"/>
      <c r="G83" s="373" t="s">
        <v>327</v>
      </c>
      <c r="H83" s="313">
        <v>50</v>
      </c>
      <c r="I83" s="330">
        <f>I84</f>
        <v>0</v>
      </c>
      <c r="J83" s="330">
        <f t="shared" ref="J83:L84" si="6">J84</f>
        <v>0</v>
      </c>
      <c r="K83" s="330">
        <f t="shared" si="6"/>
        <v>0</v>
      </c>
      <c r="L83" s="330">
        <f t="shared" si="6"/>
        <v>0</v>
      </c>
    </row>
    <row r="84" spans="1:12" ht="12" customHeight="1">
      <c r="A84" s="320">
        <v>2</v>
      </c>
      <c r="B84" s="318">
        <v>3</v>
      </c>
      <c r="C84" s="318">
        <v>2</v>
      </c>
      <c r="D84" s="318">
        <v>1</v>
      </c>
      <c r="E84" s="318"/>
      <c r="F84" s="321"/>
      <c r="G84" s="373" t="s">
        <v>327</v>
      </c>
      <c r="H84" s="313">
        <v>51</v>
      </c>
      <c r="I84" s="330">
        <f>I85</f>
        <v>0</v>
      </c>
      <c r="J84" s="330">
        <f t="shared" si="6"/>
        <v>0</v>
      </c>
      <c r="K84" s="330">
        <f t="shared" si="6"/>
        <v>0</v>
      </c>
      <c r="L84" s="330">
        <f t="shared" si="6"/>
        <v>0</v>
      </c>
    </row>
    <row r="85" spans="1:12" ht="15.75" customHeight="1">
      <c r="A85" s="320">
        <v>2</v>
      </c>
      <c r="B85" s="318">
        <v>3</v>
      </c>
      <c r="C85" s="318">
        <v>2</v>
      </c>
      <c r="D85" s="318">
        <v>1</v>
      </c>
      <c r="E85" s="318">
        <v>1</v>
      </c>
      <c r="F85" s="321"/>
      <c r="G85" s="373" t="s">
        <v>327</v>
      </c>
      <c r="H85" s="313">
        <v>52</v>
      </c>
      <c r="I85" s="330">
        <f>SUM(I86)</f>
        <v>0</v>
      </c>
      <c r="J85" s="330">
        <f t="shared" ref="J85:L85" si="7">SUM(J86)</f>
        <v>0</v>
      </c>
      <c r="K85" s="330">
        <f t="shared" si="7"/>
        <v>0</v>
      </c>
      <c r="L85" s="330">
        <f t="shared" si="7"/>
        <v>0</v>
      </c>
    </row>
    <row r="86" spans="1:12" ht="13.5" customHeight="1">
      <c r="A86" s="320">
        <v>2</v>
      </c>
      <c r="B86" s="318">
        <v>3</v>
      </c>
      <c r="C86" s="318">
        <v>2</v>
      </c>
      <c r="D86" s="318">
        <v>1</v>
      </c>
      <c r="E86" s="318">
        <v>1</v>
      </c>
      <c r="F86" s="321">
        <v>1</v>
      </c>
      <c r="G86" s="373" t="s">
        <v>327</v>
      </c>
      <c r="H86" s="313">
        <v>53</v>
      </c>
      <c r="I86" s="335"/>
      <c r="J86" s="335"/>
      <c r="K86" s="335"/>
      <c r="L86" s="335"/>
    </row>
    <row r="87" spans="1:12" ht="16.5" customHeight="1">
      <c r="A87" s="309">
        <v>2</v>
      </c>
      <c r="B87" s="310">
        <v>4</v>
      </c>
      <c r="C87" s="310"/>
      <c r="D87" s="310"/>
      <c r="E87" s="310"/>
      <c r="F87" s="312"/>
      <c r="G87" s="374" t="s">
        <v>328</v>
      </c>
      <c r="H87" s="313">
        <v>54</v>
      </c>
      <c r="I87" s="330">
        <f>I88</f>
        <v>0</v>
      </c>
      <c r="J87" s="367">
        <f t="shared" ref="J87:L89" si="8">J88</f>
        <v>0</v>
      </c>
      <c r="K87" s="331">
        <f t="shared" si="8"/>
        <v>0</v>
      </c>
      <c r="L87" s="331">
        <f t="shared" si="8"/>
        <v>0</v>
      </c>
    </row>
    <row r="88" spans="1:12" ht="15.75" customHeight="1">
      <c r="A88" s="325">
        <v>2</v>
      </c>
      <c r="B88" s="326">
        <v>4</v>
      </c>
      <c r="C88" s="326">
        <v>1</v>
      </c>
      <c r="D88" s="326"/>
      <c r="E88" s="326"/>
      <c r="F88" s="328"/>
      <c r="G88" s="359" t="s">
        <v>329</v>
      </c>
      <c r="H88" s="313">
        <v>55</v>
      </c>
      <c r="I88" s="330">
        <f>I89</f>
        <v>0</v>
      </c>
      <c r="J88" s="367">
        <f t="shared" si="8"/>
        <v>0</v>
      </c>
      <c r="K88" s="331">
        <f t="shared" si="8"/>
        <v>0</v>
      </c>
      <c r="L88" s="331">
        <f t="shared" si="8"/>
        <v>0</v>
      </c>
    </row>
    <row r="89" spans="1:12" ht="17.25" customHeight="1">
      <c r="A89" s="325">
        <v>2</v>
      </c>
      <c r="B89" s="326">
        <v>4</v>
      </c>
      <c r="C89" s="326">
        <v>1</v>
      </c>
      <c r="D89" s="326">
        <v>1</v>
      </c>
      <c r="E89" s="326"/>
      <c r="F89" s="328"/>
      <c r="G89" s="332" t="s">
        <v>329</v>
      </c>
      <c r="H89" s="313">
        <v>56</v>
      </c>
      <c r="I89" s="330">
        <f>I90</f>
        <v>0</v>
      </c>
      <c r="J89" s="367">
        <f t="shared" si="8"/>
        <v>0</v>
      </c>
      <c r="K89" s="331">
        <f t="shared" si="8"/>
        <v>0</v>
      </c>
      <c r="L89" s="331">
        <f t="shared" si="8"/>
        <v>0</v>
      </c>
    </row>
    <row r="90" spans="1:12" ht="18" customHeight="1">
      <c r="A90" s="325">
        <v>2</v>
      </c>
      <c r="B90" s="326">
        <v>4</v>
      </c>
      <c r="C90" s="326">
        <v>1</v>
      </c>
      <c r="D90" s="326">
        <v>1</v>
      </c>
      <c r="E90" s="326">
        <v>1</v>
      </c>
      <c r="F90" s="328"/>
      <c r="G90" s="332" t="s">
        <v>329</v>
      </c>
      <c r="H90" s="313">
        <v>57</v>
      </c>
      <c r="I90" s="330">
        <f>SUM(I91:I93)</f>
        <v>0</v>
      </c>
      <c r="J90" s="367">
        <f>SUM(J91:J93)</f>
        <v>0</v>
      </c>
      <c r="K90" s="331">
        <f>SUM(K91:K93)</f>
        <v>0</v>
      </c>
      <c r="L90" s="331">
        <f>SUM(L91:L93)</f>
        <v>0</v>
      </c>
    </row>
    <row r="91" spans="1:12" ht="14.25" customHeight="1">
      <c r="A91" s="325">
        <v>2</v>
      </c>
      <c r="B91" s="326">
        <v>4</v>
      </c>
      <c r="C91" s="326">
        <v>1</v>
      </c>
      <c r="D91" s="326">
        <v>1</v>
      </c>
      <c r="E91" s="326">
        <v>1</v>
      </c>
      <c r="F91" s="328">
        <v>1</v>
      </c>
      <c r="G91" s="332" t="s">
        <v>330</v>
      </c>
      <c r="H91" s="313">
        <v>58</v>
      </c>
      <c r="I91" s="335"/>
      <c r="J91" s="335"/>
      <c r="K91" s="335"/>
      <c r="L91" s="335"/>
    </row>
    <row r="92" spans="1:12" ht="13.5" customHeight="1">
      <c r="A92" s="325">
        <v>2</v>
      </c>
      <c r="B92" s="325">
        <v>4</v>
      </c>
      <c r="C92" s="325">
        <v>1</v>
      </c>
      <c r="D92" s="326">
        <v>1</v>
      </c>
      <c r="E92" s="326">
        <v>1</v>
      </c>
      <c r="F92" s="375">
        <v>2</v>
      </c>
      <c r="G92" s="327" t="s">
        <v>331</v>
      </c>
      <c r="H92" s="313">
        <v>59</v>
      </c>
      <c r="I92" s="335"/>
      <c r="J92" s="335"/>
      <c r="K92" s="335"/>
      <c r="L92" s="335"/>
    </row>
    <row r="93" spans="1:12">
      <c r="A93" s="325">
        <v>2</v>
      </c>
      <c r="B93" s="326">
        <v>4</v>
      </c>
      <c r="C93" s="325">
        <v>1</v>
      </c>
      <c r="D93" s="326">
        <v>1</v>
      </c>
      <c r="E93" s="326">
        <v>1</v>
      </c>
      <c r="F93" s="375">
        <v>3</v>
      </c>
      <c r="G93" s="327" t="s">
        <v>332</v>
      </c>
      <c r="H93" s="313">
        <v>60</v>
      </c>
      <c r="I93" s="335"/>
      <c r="J93" s="335"/>
      <c r="K93" s="335"/>
      <c r="L93" s="335"/>
    </row>
    <row r="94" spans="1:12">
      <c r="A94" s="309">
        <v>2</v>
      </c>
      <c r="B94" s="310">
        <v>5</v>
      </c>
      <c r="C94" s="309"/>
      <c r="D94" s="310"/>
      <c r="E94" s="310"/>
      <c r="F94" s="376"/>
      <c r="G94" s="311" t="s">
        <v>333</v>
      </c>
      <c r="H94" s="313">
        <v>61</v>
      </c>
      <c r="I94" s="330">
        <f>SUM(I95+I100+I105)</f>
        <v>0</v>
      </c>
      <c r="J94" s="367">
        <f>SUM(J95+J100+J105)</f>
        <v>0</v>
      </c>
      <c r="K94" s="331">
        <f>SUM(K95+K100+K105)</f>
        <v>0</v>
      </c>
      <c r="L94" s="331">
        <f>SUM(L95+L100+L105)</f>
        <v>0</v>
      </c>
    </row>
    <row r="95" spans="1:12">
      <c r="A95" s="320">
        <v>2</v>
      </c>
      <c r="B95" s="318">
        <v>5</v>
      </c>
      <c r="C95" s="320">
        <v>1</v>
      </c>
      <c r="D95" s="318"/>
      <c r="E95" s="318"/>
      <c r="F95" s="377"/>
      <c r="G95" s="340" t="s">
        <v>334</v>
      </c>
      <c r="H95" s="313">
        <v>62</v>
      </c>
      <c r="I95" s="366">
        <f>I96</f>
        <v>0</v>
      </c>
      <c r="J95" s="369">
        <f t="shared" ref="J95:L96" si="9">J96</f>
        <v>0</v>
      </c>
      <c r="K95" s="370">
        <f t="shared" si="9"/>
        <v>0</v>
      </c>
      <c r="L95" s="370">
        <f t="shared" si="9"/>
        <v>0</v>
      </c>
    </row>
    <row r="96" spans="1:12">
      <c r="A96" s="325">
        <v>2</v>
      </c>
      <c r="B96" s="326">
        <v>5</v>
      </c>
      <c r="C96" s="325">
        <v>1</v>
      </c>
      <c r="D96" s="326">
        <v>1</v>
      </c>
      <c r="E96" s="326"/>
      <c r="F96" s="375"/>
      <c r="G96" s="327" t="s">
        <v>334</v>
      </c>
      <c r="H96" s="313">
        <v>63</v>
      </c>
      <c r="I96" s="330">
        <f>I97</f>
        <v>0</v>
      </c>
      <c r="J96" s="367">
        <f t="shared" si="9"/>
        <v>0</v>
      </c>
      <c r="K96" s="331">
        <f t="shared" si="9"/>
        <v>0</v>
      </c>
      <c r="L96" s="331">
        <f t="shared" si="9"/>
        <v>0</v>
      </c>
    </row>
    <row r="97" spans="1:12">
      <c r="A97" s="325">
        <v>2</v>
      </c>
      <c r="B97" s="326">
        <v>5</v>
      </c>
      <c r="C97" s="325">
        <v>1</v>
      </c>
      <c r="D97" s="326">
        <v>1</v>
      </c>
      <c r="E97" s="326">
        <v>1</v>
      </c>
      <c r="F97" s="375"/>
      <c r="G97" s="327" t="s">
        <v>334</v>
      </c>
      <c r="H97" s="313">
        <v>64</v>
      </c>
      <c r="I97" s="330">
        <f>SUM(I98:I99)</f>
        <v>0</v>
      </c>
      <c r="J97" s="367">
        <f>SUM(J98:J99)</f>
        <v>0</v>
      </c>
      <c r="K97" s="331">
        <f>SUM(K98:K99)</f>
        <v>0</v>
      </c>
      <c r="L97" s="331">
        <f>SUM(L98:L99)</f>
        <v>0</v>
      </c>
    </row>
    <row r="98" spans="1:12" ht="26.25">
      <c r="A98" s="325">
        <v>2</v>
      </c>
      <c r="B98" s="326">
        <v>5</v>
      </c>
      <c r="C98" s="325">
        <v>1</v>
      </c>
      <c r="D98" s="326">
        <v>1</v>
      </c>
      <c r="E98" s="326">
        <v>1</v>
      </c>
      <c r="F98" s="375">
        <v>1</v>
      </c>
      <c r="G98" s="329" t="s">
        <v>335</v>
      </c>
      <c r="H98" s="313">
        <v>65</v>
      </c>
      <c r="I98" s="335"/>
      <c r="J98" s="335"/>
      <c r="K98" s="335"/>
      <c r="L98" s="335"/>
    </row>
    <row r="99" spans="1:12" ht="15.75" customHeight="1">
      <c r="A99" s="325">
        <v>2</v>
      </c>
      <c r="B99" s="326">
        <v>5</v>
      </c>
      <c r="C99" s="325">
        <v>1</v>
      </c>
      <c r="D99" s="326">
        <v>1</v>
      </c>
      <c r="E99" s="326">
        <v>1</v>
      </c>
      <c r="F99" s="375">
        <v>2</v>
      </c>
      <c r="G99" s="329" t="s">
        <v>336</v>
      </c>
      <c r="H99" s="313">
        <v>66</v>
      </c>
      <c r="I99" s="335"/>
      <c r="J99" s="335"/>
      <c r="K99" s="335"/>
      <c r="L99" s="335"/>
    </row>
    <row r="100" spans="1:12" ht="12" customHeight="1">
      <c r="A100" s="325">
        <v>2</v>
      </c>
      <c r="B100" s="326">
        <v>5</v>
      </c>
      <c r="C100" s="325">
        <v>2</v>
      </c>
      <c r="D100" s="326"/>
      <c r="E100" s="326"/>
      <c r="F100" s="375"/>
      <c r="G100" s="329" t="s">
        <v>337</v>
      </c>
      <c r="H100" s="313">
        <v>67</v>
      </c>
      <c r="I100" s="330">
        <f>I101</f>
        <v>0</v>
      </c>
      <c r="J100" s="367">
        <f t="shared" ref="J100:L101" si="10">J101</f>
        <v>0</v>
      </c>
      <c r="K100" s="331">
        <f t="shared" si="10"/>
        <v>0</v>
      </c>
      <c r="L100" s="330">
        <f t="shared" si="10"/>
        <v>0</v>
      </c>
    </row>
    <row r="101" spans="1:12" ht="15.75" customHeight="1">
      <c r="A101" s="332">
        <v>2</v>
      </c>
      <c r="B101" s="325">
        <v>5</v>
      </c>
      <c r="C101" s="326">
        <v>2</v>
      </c>
      <c r="D101" s="327">
        <v>1</v>
      </c>
      <c r="E101" s="325"/>
      <c r="F101" s="375"/>
      <c r="G101" s="327" t="s">
        <v>337</v>
      </c>
      <c r="H101" s="313">
        <v>68</v>
      </c>
      <c r="I101" s="330">
        <f>I102</f>
        <v>0</v>
      </c>
      <c r="J101" s="367">
        <f t="shared" si="10"/>
        <v>0</v>
      </c>
      <c r="K101" s="331">
        <f t="shared" si="10"/>
        <v>0</v>
      </c>
      <c r="L101" s="330">
        <f t="shared" si="10"/>
        <v>0</v>
      </c>
    </row>
    <row r="102" spans="1:12" ht="15" customHeight="1">
      <c r="A102" s="332">
        <v>2</v>
      </c>
      <c r="B102" s="325">
        <v>5</v>
      </c>
      <c r="C102" s="326">
        <v>2</v>
      </c>
      <c r="D102" s="327">
        <v>1</v>
      </c>
      <c r="E102" s="325">
        <v>1</v>
      </c>
      <c r="F102" s="375"/>
      <c r="G102" s="327" t="s">
        <v>337</v>
      </c>
      <c r="H102" s="313">
        <v>69</v>
      </c>
      <c r="I102" s="330">
        <f>SUM(I103:I104)</f>
        <v>0</v>
      </c>
      <c r="J102" s="367">
        <f>SUM(J103:J104)</f>
        <v>0</v>
      </c>
      <c r="K102" s="331">
        <f>SUM(K103:K104)</f>
        <v>0</v>
      </c>
      <c r="L102" s="330">
        <f>SUM(L103:L104)</f>
        <v>0</v>
      </c>
    </row>
    <row r="103" spans="1:12" ht="26.25">
      <c r="A103" s="332">
        <v>2</v>
      </c>
      <c r="B103" s="325">
        <v>5</v>
      </c>
      <c r="C103" s="326">
        <v>2</v>
      </c>
      <c r="D103" s="327">
        <v>1</v>
      </c>
      <c r="E103" s="325">
        <v>1</v>
      </c>
      <c r="F103" s="375">
        <v>1</v>
      </c>
      <c r="G103" s="329" t="s">
        <v>338</v>
      </c>
      <c r="H103" s="313">
        <v>70</v>
      </c>
      <c r="I103" s="335"/>
      <c r="J103" s="335"/>
      <c r="K103" s="335"/>
      <c r="L103" s="335"/>
    </row>
    <row r="104" spans="1:12" ht="25.5" customHeight="1">
      <c r="A104" s="332">
        <v>2</v>
      </c>
      <c r="B104" s="325">
        <v>5</v>
      </c>
      <c r="C104" s="326">
        <v>2</v>
      </c>
      <c r="D104" s="327">
        <v>1</v>
      </c>
      <c r="E104" s="325">
        <v>1</v>
      </c>
      <c r="F104" s="375">
        <v>2</v>
      </c>
      <c r="G104" s="329" t="s">
        <v>339</v>
      </c>
      <c r="H104" s="313">
        <v>71</v>
      </c>
      <c r="I104" s="335"/>
      <c r="J104" s="335"/>
      <c r="K104" s="335"/>
      <c r="L104" s="335"/>
    </row>
    <row r="105" spans="1:12" ht="28.5" customHeight="1">
      <c r="A105" s="332">
        <v>2</v>
      </c>
      <c r="B105" s="325">
        <v>5</v>
      </c>
      <c r="C105" s="326">
        <v>3</v>
      </c>
      <c r="D105" s="327"/>
      <c r="E105" s="325"/>
      <c r="F105" s="375"/>
      <c r="G105" s="329" t="s">
        <v>340</v>
      </c>
      <c r="H105" s="313">
        <v>72</v>
      </c>
      <c r="I105" s="330">
        <f>I106</f>
        <v>0</v>
      </c>
      <c r="J105" s="367">
        <f t="shared" ref="J105:L106" si="11">J106</f>
        <v>0</v>
      </c>
      <c r="K105" s="331">
        <f t="shared" si="11"/>
        <v>0</v>
      </c>
      <c r="L105" s="330">
        <f t="shared" si="11"/>
        <v>0</v>
      </c>
    </row>
    <row r="106" spans="1:12" ht="27" customHeight="1">
      <c r="A106" s="332">
        <v>2</v>
      </c>
      <c r="B106" s="325">
        <v>5</v>
      </c>
      <c r="C106" s="326">
        <v>3</v>
      </c>
      <c r="D106" s="327">
        <v>1</v>
      </c>
      <c r="E106" s="325"/>
      <c r="F106" s="375"/>
      <c r="G106" s="329" t="s">
        <v>341</v>
      </c>
      <c r="H106" s="313">
        <v>73</v>
      </c>
      <c r="I106" s="330">
        <f>I107</f>
        <v>0</v>
      </c>
      <c r="J106" s="367">
        <f t="shared" si="11"/>
        <v>0</v>
      </c>
      <c r="K106" s="331">
        <f t="shared" si="11"/>
        <v>0</v>
      </c>
      <c r="L106" s="330">
        <f t="shared" si="11"/>
        <v>0</v>
      </c>
    </row>
    <row r="107" spans="1:12" ht="30" customHeight="1">
      <c r="A107" s="342">
        <v>2</v>
      </c>
      <c r="B107" s="343">
        <v>5</v>
      </c>
      <c r="C107" s="344">
        <v>3</v>
      </c>
      <c r="D107" s="345">
        <v>1</v>
      </c>
      <c r="E107" s="343">
        <v>1</v>
      </c>
      <c r="F107" s="378"/>
      <c r="G107" s="379" t="s">
        <v>341</v>
      </c>
      <c r="H107" s="313">
        <v>74</v>
      </c>
      <c r="I107" s="341">
        <f>SUM(I108:I109)</f>
        <v>0</v>
      </c>
      <c r="J107" s="371">
        <f>SUM(J108:J109)</f>
        <v>0</v>
      </c>
      <c r="K107" s="372">
        <f>SUM(K108:K109)</f>
        <v>0</v>
      </c>
      <c r="L107" s="341">
        <f>SUM(L108:L109)</f>
        <v>0</v>
      </c>
    </row>
    <row r="108" spans="1:12" ht="26.25" customHeight="1">
      <c r="A108" s="332">
        <v>2</v>
      </c>
      <c r="B108" s="325">
        <v>5</v>
      </c>
      <c r="C108" s="326">
        <v>3</v>
      </c>
      <c r="D108" s="327">
        <v>1</v>
      </c>
      <c r="E108" s="325">
        <v>1</v>
      </c>
      <c r="F108" s="375">
        <v>1</v>
      </c>
      <c r="G108" s="329" t="s">
        <v>341</v>
      </c>
      <c r="H108" s="313">
        <v>75</v>
      </c>
      <c r="I108" s="335"/>
      <c r="J108" s="335"/>
      <c r="K108" s="335"/>
      <c r="L108" s="335"/>
    </row>
    <row r="109" spans="1:12" ht="26.25" customHeight="1">
      <c r="A109" s="342">
        <v>2</v>
      </c>
      <c r="B109" s="343">
        <v>5</v>
      </c>
      <c r="C109" s="344">
        <v>3</v>
      </c>
      <c r="D109" s="345">
        <v>1</v>
      </c>
      <c r="E109" s="343">
        <v>1</v>
      </c>
      <c r="F109" s="378">
        <v>2</v>
      </c>
      <c r="G109" s="379" t="s">
        <v>342</v>
      </c>
      <c r="H109" s="313">
        <v>76</v>
      </c>
      <c r="I109" s="335"/>
      <c r="J109" s="335"/>
      <c r="K109" s="335"/>
      <c r="L109" s="335"/>
    </row>
    <row r="110" spans="1:12" ht="27.75" customHeight="1">
      <c r="A110" s="380">
        <v>2</v>
      </c>
      <c r="B110" s="381">
        <v>5</v>
      </c>
      <c r="C110" s="382">
        <v>3</v>
      </c>
      <c r="D110" s="379">
        <v>2</v>
      </c>
      <c r="E110" s="381"/>
      <c r="F110" s="383"/>
      <c r="G110" s="379" t="s">
        <v>343</v>
      </c>
      <c r="H110" s="313">
        <v>77</v>
      </c>
      <c r="I110" s="341">
        <f>I111</f>
        <v>0</v>
      </c>
      <c r="J110" s="341">
        <f t="shared" ref="J110:L110" si="12">J111</f>
        <v>0</v>
      </c>
      <c r="K110" s="341">
        <f t="shared" si="12"/>
        <v>0</v>
      </c>
      <c r="L110" s="341">
        <f t="shared" si="12"/>
        <v>0</v>
      </c>
    </row>
    <row r="111" spans="1:12" ht="25.5" customHeight="1">
      <c r="A111" s="380">
        <v>2</v>
      </c>
      <c r="B111" s="381">
        <v>5</v>
      </c>
      <c r="C111" s="382">
        <v>3</v>
      </c>
      <c r="D111" s="379">
        <v>2</v>
      </c>
      <c r="E111" s="381">
        <v>1</v>
      </c>
      <c r="F111" s="383"/>
      <c r="G111" s="379" t="s">
        <v>343</v>
      </c>
      <c r="H111" s="313">
        <v>78</v>
      </c>
      <c r="I111" s="341">
        <f>SUM(I112:I113)</f>
        <v>0</v>
      </c>
      <c r="J111" s="341">
        <f t="shared" ref="J111:L111" si="13">SUM(J112:J113)</f>
        <v>0</v>
      </c>
      <c r="K111" s="341">
        <f t="shared" si="13"/>
        <v>0</v>
      </c>
      <c r="L111" s="341">
        <f t="shared" si="13"/>
        <v>0</v>
      </c>
    </row>
    <row r="112" spans="1:12" ht="30" customHeight="1">
      <c r="A112" s="380">
        <v>2</v>
      </c>
      <c r="B112" s="381">
        <v>5</v>
      </c>
      <c r="C112" s="382">
        <v>3</v>
      </c>
      <c r="D112" s="379">
        <v>2</v>
      </c>
      <c r="E112" s="381">
        <v>1</v>
      </c>
      <c r="F112" s="383">
        <v>1</v>
      </c>
      <c r="G112" s="379" t="s">
        <v>343</v>
      </c>
      <c r="H112" s="313">
        <v>79</v>
      </c>
      <c r="I112" s="335"/>
      <c r="J112" s="335"/>
      <c r="K112" s="335"/>
      <c r="L112" s="335"/>
    </row>
    <row r="113" spans="1:12" ht="18" customHeight="1">
      <c r="A113" s="380">
        <v>2</v>
      </c>
      <c r="B113" s="381">
        <v>5</v>
      </c>
      <c r="C113" s="382">
        <v>3</v>
      </c>
      <c r="D113" s="379">
        <v>2</v>
      </c>
      <c r="E113" s="381">
        <v>1</v>
      </c>
      <c r="F113" s="383">
        <v>2</v>
      </c>
      <c r="G113" s="379" t="s">
        <v>344</v>
      </c>
      <c r="H113" s="313">
        <v>80</v>
      </c>
      <c r="I113" s="335"/>
      <c r="J113" s="335"/>
      <c r="K113" s="335"/>
      <c r="L113" s="335"/>
    </row>
    <row r="114" spans="1:12" ht="16.5" customHeight="1">
      <c r="A114" s="374">
        <v>2</v>
      </c>
      <c r="B114" s="309">
        <v>6</v>
      </c>
      <c r="C114" s="310"/>
      <c r="D114" s="311"/>
      <c r="E114" s="309"/>
      <c r="F114" s="376"/>
      <c r="G114" s="384" t="s">
        <v>345</v>
      </c>
      <c r="H114" s="313">
        <v>81</v>
      </c>
      <c r="I114" s="330">
        <f>SUM(I115+I120+I124+I128+I132+I136)</f>
        <v>0</v>
      </c>
      <c r="J114" s="330">
        <f t="shared" ref="J114:L114" si="14">SUM(J115+J120+J124+J128+J132+J136)</f>
        <v>0</v>
      </c>
      <c r="K114" s="330">
        <f t="shared" si="14"/>
        <v>0</v>
      </c>
      <c r="L114" s="330">
        <f t="shared" si="14"/>
        <v>0</v>
      </c>
    </row>
    <row r="115" spans="1:12" ht="14.25" customHeight="1">
      <c r="A115" s="342">
        <v>2</v>
      </c>
      <c r="B115" s="343">
        <v>6</v>
      </c>
      <c r="C115" s="344">
        <v>1</v>
      </c>
      <c r="D115" s="345"/>
      <c r="E115" s="343"/>
      <c r="F115" s="378"/>
      <c r="G115" s="379" t="s">
        <v>346</v>
      </c>
      <c r="H115" s="313">
        <v>82</v>
      </c>
      <c r="I115" s="341">
        <f>I116</f>
        <v>0</v>
      </c>
      <c r="J115" s="371">
        <f t="shared" ref="J115:L116" si="15">J116</f>
        <v>0</v>
      </c>
      <c r="K115" s="372">
        <f t="shared" si="15"/>
        <v>0</v>
      </c>
      <c r="L115" s="341">
        <f t="shared" si="15"/>
        <v>0</v>
      </c>
    </row>
    <row r="116" spans="1:12" ht="14.25" customHeight="1">
      <c r="A116" s="332">
        <v>2</v>
      </c>
      <c r="B116" s="325">
        <v>6</v>
      </c>
      <c r="C116" s="326">
        <v>1</v>
      </c>
      <c r="D116" s="327">
        <v>1</v>
      </c>
      <c r="E116" s="325"/>
      <c r="F116" s="375"/>
      <c r="G116" s="327" t="s">
        <v>346</v>
      </c>
      <c r="H116" s="313">
        <v>83</v>
      </c>
      <c r="I116" s="330">
        <f>I117</f>
        <v>0</v>
      </c>
      <c r="J116" s="367">
        <f t="shared" si="15"/>
        <v>0</v>
      </c>
      <c r="K116" s="331">
        <f t="shared" si="15"/>
        <v>0</v>
      </c>
      <c r="L116" s="330">
        <f t="shared" si="15"/>
        <v>0</v>
      </c>
    </row>
    <row r="117" spans="1:12">
      <c r="A117" s="332">
        <v>2</v>
      </c>
      <c r="B117" s="325">
        <v>6</v>
      </c>
      <c r="C117" s="326">
        <v>1</v>
      </c>
      <c r="D117" s="327">
        <v>1</v>
      </c>
      <c r="E117" s="325">
        <v>1</v>
      </c>
      <c r="F117" s="375"/>
      <c r="G117" s="327" t="s">
        <v>346</v>
      </c>
      <c r="H117" s="313">
        <v>84</v>
      </c>
      <c r="I117" s="330">
        <f>SUM(I118:I119)</f>
        <v>0</v>
      </c>
      <c r="J117" s="367">
        <f>SUM(J118:J119)</f>
        <v>0</v>
      </c>
      <c r="K117" s="331">
        <f>SUM(K118:K119)</f>
        <v>0</v>
      </c>
      <c r="L117" s="330">
        <f>SUM(L118:L119)</f>
        <v>0</v>
      </c>
    </row>
    <row r="118" spans="1:12" ht="13.5" customHeight="1">
      <c r="A118" s="332">
        <v>2</v>
      </c>
      <c r="B118" s="325">
        <v>6</v>
      </c>
      <c r="C118" s="326">
        <v>1</v>
      </c>
      <c r="D118" s="327">
        <v>1</v>
      </c>
      <c r="E118" s="325">
        <v>1</v>
      </c>
      <c r="F118" s="375">
        <v>1</v>
      </c>
      <c r="G118" s="327" t="s">
        <v>347</v>
      </c>
      <c r="H118" s="313">
        <v>85</v>
      </c>
      <c r="I118" s="335"/>
      <c r="J118" s="335"/>
      <c r="K118" s="335"/>
      <c r="L118" s="335"/>
    </row>
    <row r="119" spans="1:12">
      <c r="A119" s="350">
        <v>2</v>
      </c>
      <c r="B119" s="320">
        <v>6</v>
      </c>
      <c r="C119" s="318">
        <v>1</v>
      </c>
      <c r="D119" s="319">
        <v>1</v>
      </c>
      <c r="E119" s="320">
        <v>1</v>
      </c>
      <c r="F119" s="377">
        <v>2</v>
      </c>
      <c r="G119" s="319" t="s">
        <v>348</v>
      </c>
      <c r="H119" s="313">
        <v>86</v>
      </c>
      <c r="I119" s="333"/>
      <c r="J119" s="333"/>
      <c r="K119" s="333"/>
      <c r="L119" s="333"/>
    </row>
    <row r="120" spans="1:12">
      <c r="A120" s="332">
        <v>2</v>
      </c>
      <c r="B120" s="325">
        <v>6</v>
      </c>
      <c r="C120" s="326">
        <v>2</v>
      </c>
      <c r="D120" s="327"/>
      <c r="E120" s="325"/>
      <c r="F120" s="375"/>
      <c r="G120" s="329" t="s">
        <v>349</v>
      </c>
      <c r="H120" s="313">
        <v>87</v>
      </c>
      <c r="I120" s="330">
        <f>I121</f>
        <v>0</v>
      </c>
      <c r="J120" s="367">
        <f t="shared" ref="J120:L122" si="16">J121</f>
        <v>0</v>
      </c>
      <c r="K120" s="331">
        <f t="shared" si="16"/>
        <v>0</v>
      </c>
      <c r="L120" s="330">
        <f t="shared" si="16"/>
        <v>0</v>
      </c>
    </row>
    <row r="121" spans="1:12" ht="14.25" customHeight="1">
      <c r="A121" s="332">
        <v>2</v>
      </c>
      <c r="B121" s="325">
        <v>6</v>
      </c>
      <c r="C121" s="326">
        <v>2</v>
      </c>
      <c r="D121" s="327">
        <v>1</v>
      </c>
      <c r="E121" s="325"/>
      <c r="F121" s="375"/>
      <c r="G121" s="329" t="s">
        <v>349</v>
      </c>
      <c r="H121" s="313">
        <v>88</v>
      </c>
      <c r="I121" s="330">
        <f>I122</f>
        <v>0</v>
      </c>
      <c r="J121" s="367">
        <f t="shared" si="16"/>
        <v>0</v>
      </c>
      <c r="K121" s="331">
        <f t="shared" si="16"/>
        <v>0</v>
      </c>
      <c r="L121" s="330">
        <f t="shared" si="16"/>
        <v>0</v>
      </c>
    </row>
    <row r="122" spans="1:12" ht="14.25" customHeight="1">
      <c r="A122" s="332">
        <v>2</v>
      </c>
      <c r="B122" s="325">
        <v>6</v>
      </c>
      <c r="C122" s="326">
        <v>2</v>
      </c>
      <c r="D122" s="327">
        <v>1</v>
      </c>
      <c r="E122" s="325">
        <v>1</v>
      </c>
      <c r="F122" s="375"/>
      <c r="G122" s="329" t="s">
        <v>349</v>
      </c>
      <c r="H122" s="313">
        <v>89</v>
      </c>
      <c r="I122" s="385">
        <f>I123</f>
        <v>0</v>
      </c>
      <c r="J122" s="386">
        <f t="shared" si="16"/>
        <v>0</v>
      </c>
      <c r="K122" s="387">
        <f t="shared" si="16"/>
        <v>0</v>
      </c>
      <c r="L122" s="385">
        <f t="shared" si="16"/>
        <v>0</v>
      </c>
    </row>
    <row r="123" spans="1:12">
      <c r="A123" s="332">
        <v>2</v>
      </c>
      <c r="B123" s="325">
        <v>6</v>
      </c>
      <c r="C123" s="326">
        <v>2</v>
      </c>
      <c r="D123" s="327">
        <v>1</v>
      </c>
      <c r="E123" s="325">
        <v>1</v>
      </c>
      <c r="F123" s="375">
        <v>1</v>
      </c>
      <c r="G123" s="329" t="s">
        <v>349</v>
      </c>
      <c r="H123" s="313">
        <v>90</v>
      </c>
      <c r="I123" s="335"/>
      <c r="J123" s="335"/>
      <c r="K123" s="335"/>
      <c r="L123" s="335"/>
    </row>
    <row r="124" spans="1:12" ht="26.25" customHeight="1">
      <c r="A124" s="350">
        <v>2</v>
      </c>
      <c r="B124" s="320">
        <v>6</v>
      </c>
      <c r="C124" s="318">
        <v>3</v>
      </c>
      <c r="D124" s="319"/>
      <c r="E124" s="320"/>
      <c r="F124" s="377"/>
      <c r="G124" s="340" t="s">
        <v>350</v>
      </c>
      <c r="H124" s="313">
        <v>91</v>
      </c>
      <c r="I124" s="366">
        <f>I125</f>
        <v>0</v>
      </c>
      <c r="J124" s="369">
        <f t="shared" ref="J124:L126" si="17">J125</f>
        <v>0</v>
      </c>
      <c r="K124" s="370">
        <f t="shared" si="17"/>
        <v>0</v>
      </c>
      <c r="L124" s="366">
        <f t="shared" si="17"/>
        <v>0</v>
      </c>
    </row>
    <row r="125" spans="1:12" ht="26.25">
      <c r="A125" s="332">
        <v>2</v>
      </c>
      <c r="B125" s="325">
        <v>6</v>
      </c>
      <c r="C125" s="326">
        <v>3</v>
      </c>
      <c r="D125" s="327">
        <v>1</v>
      </c>
      <c r="E125" s="325"/>
      <c r="F125" s="375"/>
      <c r="G125" s="327" t="s">
        <v>350</v>
      </c>
      <c r="H125" s="313">
        <v>92</v>
      </c>
      <c r="I125" s="330">
        <f>I126</f>
        <v>0</v>
      </c>
      <c r="J125" s="367">
        <f t="shared" si="17"/>
        <v>0</v>
      </c>
      <c r="K125" s="331">
        <f t="shared" si="17"/>
        <v>0</v>
      </c>
      <c r="L125" s="330">
        <f t="shared" si="17"/>
        <v>0</v>
      </c>
    </row>
    <row r="126" spans="1:12" ht="26.25" customHeight="1">
      <c r="A126" s="332">
        <v>2</v>
      </c>
      <c r="B126" s="325">
        <v>6</v>
      </c>
      <c r="C126" s="326">
        <v>3</v>
      </c>
      <c r="D126" s="327">
        <v>1</v>
      </c>
      <c r="E126" s="325">
        <v>1</v>
      </c>
      <c r="F126" s="375"/>
      <c r="G126" s="327" t="s">
        <v>350</v>
      </c>
      <c r="H126" s="313">
        <v>93</v>
      </c>
      <c r="I126" s="330">
        <f>I127</f>
        <v>0</v>
      </c>
      <c r="J126" s="367">
        <f t="shared" si="17"/>
        <v>0</v>
      </c>
      <c r="K126" s="331">
        <f t="shared" si="17"/>
        <v>0</v>
      </c>
      <c r="L126" s="330">
        <f t="shared" si="17"/>
        <v>0</v>
      </c>
    </row>
    <row r="127" spans="1:12" ht="27" customHeight="1">
      <c r="A127" s="332">
        <v>2</v>
      </c>
      <c r="B127" s="325">
        <v>6</v>
      </c>
      <c r="C127" s="326">
        <v>3</v>
      </c>
      <c r="D127" s="327">
        <v>1</v>
      </c>
      <c r="E127" s="325">
        <v>1</v>
      </c>
      <c r="F127" s="375">
        <v>1</v>
      </c>
      <c r="G127" s="327" t="s">
        <v>350</v>
      </c>
      <c r="H127" s="313">
        <v>94</v>
      </c>
      <c r="I127" s="335"/>
      <c r="J127" s="335"/>
      <c r="K127" s="335"/>
      <c r="L127" s="335"/>
    </row>
    <row r="128" spans="1:12" ht="26.25">
      <c r="A128" s="350">
        <v>2</v>
      </c>
      <c r="B128" s="320">
        <v>6</v>
      </c>
      <c r="C128" s="318">
        <v>4</v>
      </c>
      <c r="D128" s="319"/>
      <c r="E128" s="320"/>
      <c r="F128" s="377"/>
      <c r="G128" s="340" t="s">
        <v>351</v>
      </c>
      <c r="H128" s="313">
        <v>95</v>
      </c>
      <c r="I128" s="366">
        <f>I129</f>
        <v>0</v>
      </c>
      <c r="J128" s="369">
        <f t="shared" ref="J128:L130" si="18">J129</f>
        <v>0</v>
      </c>
      <c r="K128" s="370">
        <f t="shared" si="18"/>
        <v>0</v>
      </c>
      <c r="L128" s="366">
        <f t="shared" si="18"/>
        <v>0</v>
      </c>
    </row>
    <row r="129" spans="1:12" ht="27" customHeight="1">
      <c r="A129" s="332">
        <v>2</v>
      </c>
      <c r="B129" s="325">
        <v>6</v>
      </c>
      <c r="C129" s="326">
        <v>4</v>
      </c>
      <c r="D129" s="327">
        <v>1</v>
      </c>
      <c r="E129" s="325"/>
      <c r="F129" s="375"/>
      <c r="G129" s="327" t="s">
        <v>351</v>
      </c>
      <c r="H129" s="313">
        <v>96</v>
      </c>
      <c r="I129" s="330">
        <f>I130</f>
        <v>0</v>
      </c>
      <c r="J129" s="367">
        <f t="shared" si="18"/>
        <v>0</v>
      </c>
      <c r="K129" s="331">
        <f t="shared" si="18"/>
        <v>0</v>
      </c>
      <c r="L129" s="330">
        <f t="shared" si="18"/>
        <v>0</v>
      </c>
    </row>
    <row r="130" spans="1:12" ht="27" customHeight="1">
      <c r="A130" s="332">
        <v>2</v>
      </c>
      <c r="B130" s="325">
        <v>6</v>
      </c>
      <c r="C130" s="326">
        <v>4</v>
      </c>
      <c r="D130" s="327">
        <v>1</v>
      </c>
      <c r="E130" s="325">
        <v>1</v>
      </c>
      <c r="F130" s="375"/>
      <c r="G130" s="327" t="s">
        <v>351</v>
      </c>
      <c r="H130" s="313">
        <v>97</v>
      </c>
      <c r="I130" s="330">
        <f>I131</f>
        <v>0</v>
      </c>
      <c r="J130" s="367">
        <f t="shared" si="18"/>
        <v>0</v>
      </c>
      <c r="K130" s="331">
        <f t="shared" si="18"/>
        <v>0</v>
      </c>
      <c r="L130" s="330">
        <f t="shared" si="18"/>
        <v>0</v>
      </c>
    </row>
    <row r="131" spans="1:12" ht="27.75" customHeight="1">
      <c r="A131" s="332">
        <v>2</v>
      </c>
      <c r="B131" s="325">
        <v>6</v>
      </c>
      <c r="C131" s="326">
        <v>4</v>
      </c>
      <c r="D131" s="327">
        <v>1</v>
      </c>
      <c r="E131" s="325">
        <v>1</v>
      </c>
      <c r="F131" s="375">
        <v>1</v>
      </c>
      <c r="G131" s="327" t="s">
        <v>351</v>
      </c>
      <c r="H131" s="313">
        <v>98</v>
      </c>
      <c r="I131" s="335"/>
      <c r="J131" s="335"/>
      <c r="K131" s="335"/>
      <c r="L131" s="335"/>
    </row>
    <row r="132" spans="1:12" ht="27" customHeight="1">
      <c r="A132" s="342">
        <v>2</v>
      </c>
      <c r="B132" s="353">
        <v>6</v>
      </c>
      <c r="C132" s="354">
        <v>5</v>
      </c>
      <c r="D132" s="388"/>
      <c r="E132" s="353"/>
      <c r="F132" s="389"/>
      <c r="G132" s="356" t="s">
        <v>352</v>
      </c>
      <c r="H132" s="313">
        <v>99</v>
      </c>
      <c r="I132" s="347">
        <f>I133</f>
        <v>0</v>
      </c>
      <c r="J132" s="390">
        <f t="shared" ref="J132:L134" si="19">J133</f>
        <v>0</v>
      </c>
      <c r="K132" s="348">
        <f t="shared" si="19"/>
        <v>0</v>
      </c>
      <c r="L132" s="347">
        <f t="shared" si="19"/>
        <v>0</v>
      </c>
    </row>
    <row r="133" spans="1:12" ht="29.25" customHeight="1">
      <c r="A133" s="332">
        <v>2</v>
      </c>
      <c r="B133" s="325">
        <v>6</v>
      </c>
      <c r="C133" s="326">
        <v>5</v>
      </c>
      <c r="D133" s="327">
        <v>1</v>
      </c>
      <c r="E133" s="325"/>
      <c r="F133" s="375"/>
      <c r="G133" s="356" t="s">
        <v>352</v>
      </c>
      <c r="H133" s="313">
        <v>100</v>
      </c>
      <c r="I133" s="330">
        <f>I134</f>
        <v>0</v>
      </c>
      <c r="J133" s="367">
        <f t="shared" si="19"/>
        <v>0</v>
      </c>
      <c r="K133" s="331">
        <f t="shared" si="19"/>
        <v>0</v>
      </c>
      <c r="L133" s="330">
        <f t="shared" si="19"/>
        <v>0</v>
      </c>
    </row>
    <row r="134" spans="1:12" ht="25.5" customHeight="1">
      <c r="A134" s="332">
        <v>2</v>
      </c>
      <c r="B134" s="325">
        <v>6</v>
      </c>
      <c r="C134" s="326">
        <v>5</v>
      </c>
      <c r="D134" s="327">
        <v>1</v>
      </c>
      <c r="E134" s="325">
        <v>1</v>
      </c>
      <c r="F134" s="375"/>
      <c r="G134" s="356" t="s">
        <v>352</v>
      </c>
      <c r="H134" s="313">
        <v>101</v>
      </c>
      <c r="I134" s="330">
        <f>I135</f>
        <v>0</v>
      </c>
      <c r="J134" s="367">
        <f t="shared" si="19"/>
        <v>0</v>
      </c>
      <c r="K134" s="331">
        <f t="shared" si="19"/>
        <v>0</v>
      </c>
      <c r="L134" s="330">
        <f t="shared" si="19"/>
        <v>0</v>
      </c>
    </row>
    <row r="135" spans="1:12" ht="27.75" customHeight="1">
      <c r="A135" s="325">
        <v>2</v>
      </c>
      <c r="B135" s="326">
        <v>6</v>
      </c>
      <c r="C135" s="325">
        <v>5</v>
      </c>
      <c r="D135" s="325">
        <v>1</v>
      </c>
      <c r="E135" s="327">
        <v>1</v>
      </c>
      <c r="F135" s="375">
        <v>1</v>
      </c>
      <c r="G135" s="360" t="s">
        <v>353</v>
      </c>
      <c r="H135" s="313">
        <v>102</v>
      </c>
      <c r="I135" s="335"/>
      <c r="J135" s="335"/>
      <c r="K135" s="335"/>
      <c r="L135" s="335"/>
    </row>
    <row r="136" spans="1:12" ht="27.75" customHeight="1">
      <c r="A136" s="359">
        <v>2</v>
      </c>
      <c r="B136" s="361">
        <v>6</v>
      </c>
      <c r="C136" s="360">
        <v>6</v>
      </c>
      <c r="D136" s="361"/>
      <c r="E136" s="329"/>
      <c r="F136" s="362"/>
      <c r="G136" s="391" t="s">
        <v>354</v>
      </c>
      <c r="H136" s="313">
        <v>103</v>
      </c>
      <c r="I136" s="331">
        <f t="shared" ref="I136:L138" si="20">I137</f>
        <v>0</v>
      </c>
      <c r="J136" s="330">
        <f t="shared" si="20"/>
        <v>0</v>
      </c>
      <c r="K136" s="330">
        <f t="shared" si="20"/>
        <v>0</v>
      </c>
      <c r="L136" s="330">
        <f t="shared" si="20"/>
        <v>0</v>
      </c>
    </row>
    <row r="137" spans="1:12" ht="27.75" customHeight="1">
      <c r="A137" s="359">
        <v>2</v>
      </c>
      <c r="B137" s="361">
        <v>6</v>
      </c>
      <c r="C137" s="360">
        <v>6</v>
      </c>
      <c r="D137" s="361">
        <v>1</v>
      </c>
      <c r="E137" s="329"/>
      <c r="F137" s="362"/>
      <c r="G137" s="391" t="s">
        <v>354</v>
      </c>
      <c r="H137" s="313">
        <v>104</v>
      </c>
      <c r="I137" s="330">
        <f t="shared" si="20"/>
        <v>0</v>
      </c>
      <c r="J137" s="330">
        <f t="shared" si="20"/>
        <v>0</v>
      </c>
      <c r="K137" s="330">
        <f t="shared" si="20"/>
        <v>0</v>
      </c>
      <c r="L137" s="330">
        <f t="shared" si="20"/>
        <v>0</v>
      </c>
    </row>
    <row r="138" spans="1:12" ht="27.75" customHeight="1">
      <c r="A138" s="359">
        <v>2</v>
      </c>
      <c r="B138" s="361">
        <v>6</v>
      </c>
      <c r="C138" s="360">
        <v>6</v>
      </c>
      <c r="D138" s="361">
        <v>1</v>
      </c>
      <c r="E138" s="329">
        <v>1</v>
      </c>
      <c r="F138" s="362"/>
      <c r="G138" s="391" t="s">
        <v>354</v>
      </c>
      <c r="H138" s="313">
        <v>105</v>
      </c>
      <c r="I138" s="330">
        <f t="shared" si="20"/>
        <v>0</v>
      </c>
      <c r="J138" s="330">
        <f t="shared" si="20"/>
        <v>0</v>
      </c>
      <c r="K138" s="330">
        <f t="shared" si="20"/>
        <v>0</v>
      </c>
      <c r="L138" s="330">
        <f t="shared" si="20"/>
        <v>0</v>
      </c>
    </row>
    <row r="139" spans="1:12" ht="27.75" customHeight="1">
      <c r="A139" s="359">
        <v>2</v>
      </c>
      <c r="B139" s="361">
        <v>6</v>
      </c>
      <c r="C139" s="360">
        <v>6</v>
      </c>
      <c r="D139" s="361">
        <v>1</v>
      </c>
      <c r="E139" s="329">
        <v>1</v>
      </c>
      <c r="F139" s="362">
        <v>1</v>
      </c>
      <c r="G139" s="392" t="s">
        <v>354</v>
      </c>
      <c r="H139" s="313">
        <v>106</v>
      </c>
      <c r="I139" s="335"/>
      <c r="J139" s="393"/>
      <c r="K139" s="335"/>
      <c r="L139" s="335"/>
    </row>
    <row r="140" spans="1:12" ht="28.5" customHeight="1">
      <c r="A140" s="374">
        <v>2</v>
      </c>
      <c r="B140" s="309">
        <v>7</v>
      </c>
      <c r="C140" s="309"/>
      <c r="D140" s="310"/>
      <c r="E140" s="310"/>
      <c r="F140" s="312"/>
      <c r="G140" s="311" t="s">
        <v>355</v>
      </c>
      <c r="H140" s="313">
        <v>107</v>
      </c>
      <c r="I140" s="331">
        <f>SUM(I141+I146+I154)</f>
        <v>776000</v>
      </c>
      <c r="J140" s="331">
        <f>SUM(J141+J146+J154)</f>
        <v>632000</v>
      </c>
      <c r="K140" s="331">
        <f>SUM(K141+K146+K154)</f>
        <v>495390.96</v>
      </c>
      <c r="L140" s="330">
        <f>SUM(L141+L146+L154)</f>
        <v>495390.96</v>
      </c>
    </row>
    <row r="141" spans="1:12">
      <c r="A141" s="332">
        <v>2</v>
      </c>
      <c r="B141" s="325">
        <v>7</v>
      </c>
      <c r="C141" s="325">
        <v>1</v>
      </c>
      <c r="D141" s="326"/>
      <c r="E141" s="326"/>
      <c r="F141" s="328"/>
      <c r="G141" s="329" t="s">
        <v>356</v>
      </c>
      <c r="H141" s="313">
        <v>108</v>
      </c>
      <c r="I141" s="331">
        <f>I142</f>
        <v>0</v>
      </c>
      <c r="J141" s="367">
        <f t="shared" ref="J141:L142" si="21">J142</f>
        <v>0</v>
      </c>
      <c r="K141" s="331">
        <f t="shared" si="21"/>
        <v>0</v>
      </c>
      <c r="L141" s="330">
        <f t="shared" si="21"/>
        <v>0</v>
      </c>
    </row>
    <row r="142" spans="1:12" ht="24" customHeight="1">
      <c r="A142" s="332">
        <v>2</v>
      </c>
      <c r="B142" s="325">
        <v>7</v>
      </c>
      <c r="C142" s="325">
        <v>1</v>
      </c>
      <c r="D142" s="326">
        <v>1</v>
      </c>
      <c r="E142" s="326"/>
      <c r="F142" s="328"/>
      <c r="G142" s="327" t="s">
        <v>356</v>
      </c>
      <c r="H142" s="313">
        <v>109</v>
      </c>
      <c r="I142" s="331">
        <f>I143</f>
        <v>0</v>
      </c>
      <c r="J142" s="367">
        <f t="shared" si="21"/>
        <v>0</v>
      </c>
      <c r="K142" s="331">
        <f t="shared" si="21"/>
        <v>0</v>
      </c>
      <c r="L142" s="330">
        <f t="shared" si="21"/>
        <v>0</v>
      </c>
    </row>
    <row r="143" spans="1:12" ht="28.5" customHeight="1">
      <c r="A143" s="332">
        <v>2</v>
      </c>
      <c r="B143" s="325">
        <v>7</v>
      </c>
      <c r="C143" s="325">
        <v>1</v>
      </c>
      <c r="D143" s="326">
        <v>1</v>
      </c>
      <c r="E143" s="326">
        <v>1</v>
      </c>
      <c r="F143" s="328"/>
      <c r="G143" s="327" t="s">
        <v>356</v>
      </c>
      <c r="H143" s="313">
        <v>110</v>
      </c>
      <c r="I143" s="331">
        <f>SUM(I144:I145)</f>
        <v>0</v>
      </c>
      <c r="J143" s="367">
        <f>SUM(J144:J145)</f>
        <v>0</v>
      </c>
      <c r="K143" s="331">
        <f>SUM(K144:K145)</f>
        <v>0</v>
      </c>
      <c r="L143" s="330">
        <f>SUM(L144:L145)</f>
        <v>0</v>
      </c>
    </row>
    <row r="144" spans="1:12" ht="26.25" customHeight="1">
      <c r="A144" s="350">
        <v>2</v>
      </c>
      <c r="B144" s="320">
        <v>7</v>
      </c>
      <c r="C144" s="350">
        <v>1</v>
      </c>
      <c r="D144" s="325">
        <v>1</v>
      </c>
      <c r="E144" s="318">
        <v>1</v>
      </c>
      <c r="F144" s="321">
        <v>1</v>
      </c>
      <c r="G144" s="319" t="s">
        <v>357</v>
      </c>
      <c r="H144" s="313">
        <v>111</v>
      </c>
      <c r="I144" s="394"/>
      <c r="J144" s="394"/>
      <c r="K144" s="394"/>
      <c r="L144" s="394"/>
    </row>
    <row r="145" spans="1:12" ht="24" customHeight="1">
      <c r="A145" s="325">
        <v>2</v>
      </c>
      <c r="B145" s="325">
        <v>7</v>
      </c>
      <c r="C145" s="332">
        <v>1</v>
      </c>
      <c r="D145" s="325">
        <v>1</v>
      </c>
      <c r="E145" s="326">
        <v>1</v>
      </c>
      <c r="F145" s="328">
        <v>2</v>
      </c>
      <c r="G145" s="327" t="s">
        <v>358</v>
      </c>
      <c r="H145" s="313">
        <v>112</v>
      </c>
      <c r="I145" s="334"/>
      <c r="J145" s="334"/>
      <c r="K145" s="334"/>
      <c r="L145" s="334"/>
    </row>
    <row r="146" spans="1:12" ht="26.25">
      <c r="A146" s="342">
        <v>2</v>
      </c>
      <c r="B146" s="343">
        <v>7</v>
      </c>
      <c r="C146" s="342">
        <v>2</v>
      </c>
      <c r="D146" s="343"/>
      <c r="E146" s="344"/>
      <c r="F146" s="346"/>
      <c r="G146" s="379" t="s">
        <v>359</v>
      </c>
      <c r="H146" s="313">
        <v>113</v>
      </c>
      <c r="I146" s="372">
        <f>I147</f>
        <v>0</v>
      </c>
      <c r="J146" s="371">
        <f t="shared" ref="J146:L147" si="22">J147</f>
        <v>0</v>
      </c>
      <c r="K146" s="372">
        <f t="shared" si="22"/>
        <v>0</v>
      </c>
      <c r="L146" s="341">
        <f t="shared" si="22"/>
        <v>0</v>
      </c>
    </row>
    <row r="147" spans="1:12" ht="26.25">
      <c r="A147" s="332">
        <v>2</v>
      </c>
      <c r="B147" s="325">
        <v>7</v>
      </c>
      <c r="C147" s="332">
        <v>2</v>
      </c>
      <c r="D147" s="325">
        <v>1</v>
      </c>
      <c r="E147" s="326"/>
      <c r="F147" s="328"/>
      <c r="G147" s="327" t="s">
        <v>360</v>
      </c>
      <c r="H147" s="313">
        <v>114</v>
      </c>
      <c r="I147" s="331">
        <f>I148</f>
        <v>0</v>
      </c>
      <c r="J147" s="367">
        <f t="shared" si="22"/>
        <v>0</v>
      </c>
      <c r="K147" s="331">
        <f t="shared" si="22"/>
        <v>0</v>
      </c>
      <c r="L147" s="330">
        <f t="shared" si="22"/>
        <v>0</v>
      </c>
    </row>
    <row r="148" spans="1:12" ht="26.25">
      <c r="A148" s="332">
        <v>2</v>
      </c>
      <c r="B148" s="325">
        <v>7</v>
      </c>
      <c r="C148" s="332">
        <v>2</v>
      </c>
      <c r="D148" s="325">
        <v>1</v>
      </c>
      <c r="E148" s="326">
        <v>1</v>
      </c>
      <c r="F148" s="328"/>
      <c r="G148" s="327" t="s">
        <v>360</v>
      </c>
      <c r="H148" s="313">
        <v>115</v>
      </c>
      <c r="I148" s="331">
        <f>SUM(I149:I150)</f>
        <v>0</v>
      </c>
      <c r="J148" s="367">
        <f>SUM(J149:J150)</f>
        <v>0</v>
      </c>
      <c r="K148" s="331">
        <f>SUM(K149:K150)</f>
        <v>0</v>
      </c>
      <c r="L148" s="330">
        <f>SUM(L149:L150)</f>
        <v>0</v>
      </c>
    </row>
    <row r="149" spans="1:12" ht="23.25" customHeight="1">
      <c r="A149" s="332">
        <v>2</v>
      </c>
      <c r="B149" s="325">
        <v>7</v>
      </c>
      <c r="C149" s="332">
        <v>2</v>
      </c>
      <c r="D149" s="325">
        <v>1</v>
      </c>
      <c r="E149" s="326">
        <v>1</v>
      </c>
      <c r="F149" s="328">
        <v>1</v>
      </c>
      <c r="G149" s="327" t="s">
        <v>361</v>
      </c>
      <c r="H149" s="313">
        <v>116</v>
      </c>
      <c r="I149" s="334"/>
      <c r="J149" s="334"/>
      <c r="K149" s="334"/>
      <c r="L149" s="334"/>
    </row>
    <row r="150" spans="1:12" ht="26.25" customHeight="1">
      <c r="A150" s="332">
        <v>2</v>
      </c>
      <c r="B150" s="325">
        <v>7</v>
      </c>
      <c r="C150" s="332">
        <v>2</v>
      </c>
      <c r="D150" s="325">
        <v>1</v>
      </c>
      <c r="E150" s="326">
        <v>1</v>
      </c>
      <c r="F150" s="328">
        <v>2</v>
      </c>
      <c r="G150" s="327" t="s">
        <v>362</v>
      </c>
      <c r="H150" s="313">
        <v>117</v>
      </c>
      <c r="I150" s="334"/>
      <c r="J150" s="334"/>
      <c r="K150" s="334"/>
      <c r="L150" s="334"/>
    </row>
    <row r="151" spans="1:12" ht="27.75" customHeight="1">
      <c r="A151" s="359">
        <v>2</v>
      </c>
      <c r="B151" s="360">
        <v>7</v>
      </c>
      <c r="C151" s="359">
        <v>2</v>
      </c>
      <c r="D151" s="360">
        <v>2</v>
      </c>
      <c r="E151" s="361"/>
      <c r="F151" s="362"/>
      <c r="G151" s="329" t="s">
        <v>363</v>
      </c>
      <c r="H151" s="313">
        <v>118</v>
      </c>
      <c r="I151" s="331">
        <f>I152</f>
        <v>0</v>
      </c>
      <c r="J151" s="331">
        <f t="shared" ref="J151:L151" si="23">J152</f>
        <v>0</v>
      </c>
      <c r="K151" s="331">
        <f t="shared" si="23"/>
        <v>0</v>
      </c>
      <c r="L151" s="331">
        <f t="shared" si="23"/>
        <v>0</v>
      </c>
    </row>
    <row r="152" spans="1:12" ht="24.75" customHeight="1">
      <c r="A152" s="359">
        <v>2</v>
      </c>
      <c r="B152" s="360">
        <v>7</v>
      </c>
      <c r="C152" s="359">
        <v>2</v>
      </c>
      <c r="D152" s="360">
        <v>2</v>
      </c>
      <c r="E152" s="361">
        <v>1</v>
      </c>
      <c r="F152" s="362"/>
      <c r="G152" s="329" t="s">
        <v>363</v>
      </c>
      <c r="H152" s="313">
        <v>119</v>
      </c>
      <c r="I152" s="331">
        <f>SUM(I153)</f>
        <v>0</v>
      </c>
      <c r="J152" s="331">
        <f t="shared" ref="J152:L152" si="24">SUM(J153)</f>
        <v>0</v>
      </c>
      <c r="K152" s="331">
        <f t="shared" si="24"/>
        <v>0</v>
      </c>
      <c r="L152" s="331">
        <f t="shared" si="24"/>
        <v>0</v>
      </c>
    </row>
    <row r="153" spans="1:12" ht="27" customHeight="1">
      <c r="A153" s="359">
        <v>2</v>
      </c>
      <c r="B153" s="360">
        <v>7</v>
      </c>
      <c r="C153" s="359">
        <v>2</v>
      </c>
      <c r="D153" s="360">
        <v>2</v>
      </c>
      <c r="E153" s="361">
        <v>1</v>
      </c>
      <c r="F153" s="362">
        <v>1</v>
      </c>
      <c r="G153" s="329" t="s">
        <v>363</v>
      </c>
      <c r="H153" s="313">
        <v>120</v>
      </c>
      <c r="I153" s="334"/>
      <c r="J153" s="334"/>
      <c r="K153" s="334"/>
      <c r="L153" s="334"/>
    </row>
    <row r="154" spans="1:12">
      <c r="A154" s="332">
        <v>2</v>
      </c>
      <c r="B154" s="325">
        <v>7</v>
      </c>
      <c r="C154" s="332">
        <v>3</v>
      </c>
      <c r="D154" s="325"/>
      <c r="E154" s="326"/>
      <c r="F154" s="328"/>
      <c r="G154" s="329" t="s">
        <v>364</v>
      </c>
      <c r="H154" s="313">
        <v>121</v>
      </c>
      <c r="I154" s="331">
        <f>I155</f>
        <v>776000</v>
      </c>
      <c r="J154" s="367">
        <f t="shared" ref="J154:L155" si="25">J155</f>
        <v>632000</v>
      </c>
      <c r="K154" s="331">
        <f t="shared" si="25"/>
        <v>495390.96</v>
      </c>
      <c r="L154" s="330">
        <f t="shared" si="25"/>
        <v>495390.96</v>
      </c>
    </row>
    <row r="155" spans="1:12">
      <c r="A155" s="342">
        <v>2</v>
      </c>
      <c r="B155" s="353">
        <v>7</v>
      </c>
      <c r="C155" s="395">
        <v>3</v>
      </c>
      <c r="D155" s="353">
        <v>1</v>
      </c>
      <c r="E155" s="354"/>
      <c r="F155" s="355"/>
      <c r="G155" s="388" t="s">
        <v>364</v>
      </c>
      <c r="H155" s="313">
        <v>122</v>
      </c>
      <c r="I155" s="348">
        <f>I156</f>
        <v>776000</v>
      </c>
      <c r="J155" s="390">
        <f t="shared" si="25"/>
        <v>632000</v>
      </c>
      <c r="K155" s="348">
        <f t="shared" si="25"/>
        <v>495390.96</v>
      </c>
      <c r="L155" s="347">
        <f t="shared" si="25"/>
        <v>495390.96</v>
      </c>
    </row>
    <row r="156" spans="1:12">
      <c r="A156" s="332">
        <v>2</v>
      </c>
      <c r="B156" s="325">
        <v>7</v>
      </c>
      <c r="C156" s="332">
        <v>3</v>
      </c>
      <c r="D156" s="325">
        <v>1</v>
      </c>
      <c r="E156" s="326">
        <v>1</v>
      </c>
      <c r="F156" s="328"/>
      <c r="G156" s="327" t="s">
        <v>364</v>
      </c>
      <c r="H156" s="313">
        <v>123</v>
      </c>
      <c r="I156" s="331">
        <f>SUM(I157:I158)</f>
        <v>776000</v>
      </c>
      <c r="J156" s="367">
        <f>SUM(J157:J158)</f>
        <v>632000</v>
      </c>
      <c r="K156" s="331">
        <f>SUM(K157:K158)</f>
        <v>495390.96</v>
      </c>
      <c r="L156" s="330">
        <f>SUM(L157:L158)</f>
        <v>495390.96</v>
      </c>
    </row>
    <row r="157" spans="1:12">
      <c r="A157" s="350">
        <v>2</v>
      </c>
      <c r="B157" s="320">
        <v>7</v>
      </c>
      <c r="C157" s="350">
        <v>3</v>
      </c>
      <c r="D157" s="320">
        <v>1</v>
      </c>
      <c r="E157" s="318">
        <v>1</v>
      </c>
      <c r="F157" s="321">
        <v>1</v>
      </c>
      <c r="G157" s="319" t="s">
        <v>365</v>
      </c>
      <c r="H157" s="313">
        <v>124</v>
      </c>
      <c r="I157" s="394">
        <f>346900+429100</f>
        <v>776000</v>
      </c>
      <c r="J157" s="394">
        <f>202900+429100</f>
        <v>632000</v>
      </c>
      <c r="K157" s="394">
        <f>129868.62+365522.34</f>
        <v>495390.96</v>
      </c>
      <c r="L157" s="394">
        <f>129868.62+365522.34</f>
        <v>495390.96</v>
      </c>
    </row>
    <row r="158" spans="1:12" ht="25.5" customHeight="1">
      <c r="A158" s="332">
        <v>2</v>
      </c>
      <c r="B158" s="325">
        <v>7</v>
      </c>
      <c r="C158" s="332">
        <v>3</v>
      </c>
      <c r="D158" s="325">
        <v>1</v>
      </c>
      <c r="E158" s="326">
        <v>1</v>
      </c>
      <c r="F158" s="328">
        <v>2</v>
      </c>
      <c r="G158" s="327" t="s">
        <v>366</v>
      </c>
      <c r="H158" s="313">
        <v>125</v>
      </c>
      <c r="I158" s="334"/>
      <c r="J158" s="335"/>
      <c r="K158" s="335"/>
      <c r="L158" s="335"/>
    </row>
    <row r="159" spans="1:12" ht="24" customHeight="1">
      <c r="A159" s="374">
        <v>2</v>
      </c>
      <c r="B159" s="374">
        <v>8</v>
      </c>
      <c r="C159" s="309"/>
      <c r="D159" s="337"/>
      <c r="E159" s="317"/>
      <c r="F159" s="396"/>
      <c r="G159" s="322" t="s">
        <v>367</v>
      </c>
      <c r="H159" s="313">
        <v>126</v>
      </c>
      <c r="I159" s="370">
        <f>I160</f>
        <v>0</v>
      </c>
      <c r="J159" s="369">
        <f>J160</f>
        <v>0</v>
      </c>
      <c r="K159" s="370">
        <f>K160</f>
        <v>0</v>
      </c>
      <c r="L159" s="366">
        <f>L160</f>
        <v>0</v>
      </c>
    </row>
    <row r="160" spans="1:12" ht="21.75" customHeight="1">
      <c r="A160" s="342">
        <v>2</v>
      </c>
      <c r="B160" s="342">
        <v>8</v>
      </c>
      <c r="C160" s="342">
        <v>1</v>
      </c>
      <c r="D160" s="343"/>
      <c r="E160" s="344"/>
      <c r="F160" s="346"/>
      <c r="G160" s="340" t="s">
        <v>367</v>
      </c>
      <c r="H160" s="313">
        <v>127</v>
      </c>
      <c r="I160" s="370">
        <f>I161+I166</f>
        <v>0</v>
      </c>
      <c r="J160" s="369">
        <f>J161+J166</f>
        <v>0</v>
      </c>
      <c r="K160" s="370">
        <f>K161+K166</f>
        <v>0</v>
      </c>
      <c r="L160" s="366">
        <f>L161+L166</f>
        <v>0</v>
      </c>
    </row>
    <row r="161" spans="1:12" ht="27" customHeight="1">
      <c r="A161" s="332">
        <v>2</v>
      </c>
      <c r="B161" s="325">
        <v>8</v>
      </c>
      <c r="C161" s="327">
        <v>1</v>
      </c>
      <c r="D161" s="325">
        <v>1</v>
      </c>
      <c r="E161" s="326"/>
      <c r="F161" s="328"/>
      <c r="G161" s="329" t="s">
        <v>368</v>
      </c>
      <c r="H161" s="313">
        <v>128</v>
      </c>
      <c r="I161" s="331">
        <f>I162</f>
        <v>0</v>
      </c>
      <c r="J161" s="367">
        <f>J162</f>
        <v>0</v>
      </c>
      <c r="K161" s="331">
        <f>K162</f>
        <v>0</v>
      </c>
      <c r="L161" s="330">
        <f>L162</f>
        <v>0</v>
      </c>
    </row>
    <row r="162" spans="1:12" ht="23.25" customHeight="1">
      <c r="A162" s="332">
        <v>2</v>
      </c>
      <c r="B162" s="325">
        <v>8</v>
      </c>
      <c r="C162" s="319">
        <v>1</v>
      </c>
      <c r="D162" s="320">
        <v>1</v>
      </c>
      <c r="E162" s="318">
        <v>1</v>
      </c>
      <c r="F162" s="321"/>
      <c r="G162" s="329" t="s">
        <v>368</v>
      </c>
      <c r="H162" s="313">
        <v>129</v>
      </c>
      <c r="I162" s="370">
        <f>SUM(I163:I165)</f>
        <v>0</v>
      </c>
      <c r="J162" s="370">
        <f t="shared" ref="J162:L162" si="26">SUM(J163:J165)</f>
        <v>0</v>
      </c>
      <c r="K162" s="370">
        <f t="shared" si="26"/>
        <v>0</v>
      </c>
      <c r="L162" s="370">
        <f t="shared" si="26"/>
        <v>0</v>
      </c>
    </row>
    <row r="163" spans="1:12" ht="23.25" customHeight="1">
      <c r="A163" s="325">
        <v>2</v>
      </c>
      <c r="B163" s="320">
        <v>8</v>
      </c>
      <c r="C163" s="327">
        <v>1</v>
      </c>
      <c r="D163" s="325">
        <v>1</v>
      </c>
      <c r="E163" s="326">
        <v>1</v>
      </c>
      <c r="F163" s="328">
        <v>1</v>
      </c>
      <c r="G163" s="329" t="s">
        <v>369</v>
      </c>
      <c r="H163" s="313">
        <v>130</v>
      </c>
      <c r="I163" s="334"/>
      <c r="J163" s="334"/>
      <c r="K163" s="334"/>
      <c r="L163" s="334"/>
    </row>
    <row r="164" spans="1:12" ht="27" customHeight="1">
      <c r="A164" s="342">
        <v>2</v>
      </c>
      <c r="B164" s="353">
        <v>8</v>
      </c>
      <c r="C164" s="388">
        <v>1</v>
      </c>
      <c r="D164" s="353">
        <v>1</v>
      </c>
      <c r="E164" s="354">
        <v>1</v>
      </c>
      <c r="F164" s="355">
        <v>2</v>
      </c>
      <c r="G164" s="356" t="s">
        <v>370</v>
      </c>
      <c r="H164" s="313">
        <v>131</v>
      </c>
      <c r="I164" s="397"/>
      <c r="J164" s="397"/>
      <c r="K164" s="397"/>
      <c r="L164" s="397"/>
    </row>
    <row r="165" spans="1:12">
      <c r="A165" s="380">
        <v>2</v>
      </c>
      <c r="B165" s="398">
        <v>8</v>
      </c>
      <c r="C165" s="356">
        <v>1</v>
      </c>
      <c r="D165" s="398">
        <v>1</v>
      </c>
      <c r="E165" s="399">
        <v>1</v>
      </c>
      <c r="F165" s="400">
        <v>3</v>
      </c>
      <c r="G165" s="356" t="s">
        <v>371</v>
      </c>
      <c r="H165" s="313">
        <v>132</v>
      </c>
      <c r="I165" s="397"/>
      <c r="J165" s="401"/>
      <c r="K165" s="397"/>
      <c r="L165" s="357"/>
    </row>
    <row r="166" spans="1:12" ht="23.25" customHeight="1">
      <c r="A166" s="332">
        <v>2</v>
      </c>
      <c r="B166" s="325">
        <v>8</v>
      </c>
      <c r="C166" s="327">
        <v>1</v>
      </c>
      <c r="D166" s="325">
        <v>2</v>
      </c>
      <c r="E166" s="326"/>
      <c r="F166" s="328"/>
      <c r="G166" s="329" t="s">
        <v>372</v>
      </c>
      <c r="H166" s="313">
        <v>133</v>
      </c>
      <c r="I166" s="331">
        <f>I167</f>
        <v>0</v>
      </c>
      <c r="J166" s="367">
        <f t="shared" ref="J166:L167" si="27">J167</f>
        <v>0</v>
      </c>
      <c r="K166" s="331">
        <f t="shared" si="27"/>
        <v>0</v>
      </c>
      <c r="L166" s="330">
        <f t="shared" si="27"/>
        <v>0</v>
      </c>
    </row>
    <row r="167" spans="1:12">
      <c r="A167" s="332">
        <v>2</v>
      </c>
      <c r="B167" s="325">
        <v>8</v>
      </c>
      <c r="C167" s="327">
        <v>1</v>
      </c>
      <c r="D167" s="325">
        <v>2</v>
      </c>
      <c r="E167" s="326">
        <v>1</v>
      </c>
      <c r="F167" s="328"/>
      <c r="G167" s="329" t="s">
        <v>372</v>
      </c>
      <c r="H167" s="313">
        <v>134</v>
      </c>
      <c r="I167" s="331">
        <f>I168</f>
        <v>0</v>
      </c>
      <c r="J167" s="367">
        <f t="shared" si="27"/>
        <v>0</v>
      </c>
      <c r="K167" s="331">
        <f t="shared" si="27"/>
        <v>0</v>
      </c>
      <c r="L167" s="330">
        <f t="shared" si="27"/>
        <v>0</v>
      </c>
    </row>
    <row r="168" spans="1:12">
      <c r="A168" s="342">
        <v>2</v>
      </c>
      <c r="B168" s="343">
        <v>8</v>
      </c>
      <c r="C168" s="345">
        <v>1</v>
      </c>
      <c r="D168" s="343">
        <v>2</v>
      </c>
      <c r="E168" s="344">
        <v>1</v>
      </c>
      <c r="F168" s="402">
        <v>1</v>
      </c>
      <c r="G168" s="329" t="s">
        <v>372</v>
      </c>
      <c r="H168" s="313">
        <v>135</v>
      </c>
      <c r="I168" s="403"/>
      <c r="J168" s="335"/>
      <c r="K168" s="335"/>
      <c r="L168" s="335"/>
    </row>
    <row r="169" spans="1:12" ht="39.75" customHeight="1">
      <c r="A169" s="374">
        <v>2</v>
      </c>
      <c r="B169" s="309">
        <v>9</v>
      </c>
      <c r="C169" s="311"/>
      <c r="D169" s="309"/>
      <c r="E169" s="310"/>
      <c r="F169" s="312"/>
      <c r="G169" s="311" t="s">
        <v>373</v>
      </c>
      <c r="H169" s="313">
        <v>136</v>
      </c>
      <c r="I169" s="331">
        <f>I170+I174</f>
        <v>0</v>
      </c>
      <c r="J169" s="367">
        <f>J170+J174</f>
        <v>0</v>
      </c>
      <c r="K169" s="331">
        <f>K170+K174</f>
        <v>0</v>
      </c>
      <c r="L169" s="330">
        <f>L170+L174</f>
        <v>0</v>
      </c>
    </row>
    <row r="170" spans="1:12" s="345" customFormat="1" ht="39" customHeight="1">
      <c r="A170" s="332">
        <v>2</v>
      </c>
      <c r="B170" s="325">
        <v>9</v>
      </c>
      <c r="C170" s="327">
        <v>1</v>
      </c>
      <c r="D170" s="325"/>
      <c r="E170" s="326"/>
      <c r="F170" s="328"/>
      <c r="G170" s="329" t="s">
        <v>374</v>
      </c>
      <c r="H170" s="313">
        <v>137</v>
      </c>
      <c r="I170" s="331">
        <f>I171</f>
        <v>0</v>
      </c>
      <c r="J170" s="367">
        <f t="shared" ref="J170:L171" si="28">J171</f>
        <v>0</v>
      </c>
      <c r="K170" s="331">
        <f t="shared" si="28"/>
        <v>0</v>
      </c>
      <c r="L170" s="330">
        <f t="shared" si="28"/>
        <v>0</v>
      </c>
    </row>
    <row r="171" spans="1:12" ht="42.75" customHeight="1">
      <c r="A171" s="350">
        <v>2</v>
      </c>
      <c r="B171" s="320">
        <v>9</v>
      </c>
      <c r="C171" s="319">
        <v>1</v>
      </c>
      <c r="D171" s="320">
        <v>1</v>
      </c>
      <c r="E171" s="318"/>
      <c r="F171" s="321"/>
      <c r="G171" s="329" t="s">
        <v>374</v>
      </c>
      <c r="H171" s="313">
        <v>138</v>
      </c>
      <c r="I171" s="370">
        <f>I172</f>
        <v>0</v>
      </c>
      <c r="J171" s="369">
        <f t="shared" si="28"/>
        <v>0</v>
      </c>
      <c r="K171" s="370">
        <f t="shared" si="28"/>
        <v>0</v>
      </c>
      <c r="L171" s="366">
        <f t="shared" si="28"/>
        <v>0</v>
      </c>
    </row>
    <row r="172" spans="1:12" ht="38.25" customHeight="1">
      <c r="A172" s="332">
        <v>2</v>
      </c>
      <c r="B172" s="325">
        <v>9</v>
      </c>
      <c r="C172" s="332">
        <v>1</v>
      </c>
      <c r="D172" s="325">
        <v>1</v>
      </c>
      <c r="E172" s="326">
        <v>1</v>
      </c>
      <c r="F172" s="328"/>
      <c r="G172" s="329" t="s">
        <v>374</v>
      </c>
      <c r="H172" s="313">
        <v>139</v>
      </c>
      <c r="I172" s="331">
        <f>I173</f>
        <v>0</v>
      </c>
      <c r="J172" s="367">
        <f>J173</f>
        <v>0</v>
      </c>
      <c r="K172" s="331">
        <f>K173</f>
        <v>0</v>
      </c>
      <c r="L172" s="330">
        <f>L173</f>
        <v>0</v>
      </c>
    </row>
    <row r="173" spans="1:12" ht="38.25" customHeight="1">
      <c r="A173" s="350">
        <v>2</v>
      </c>
      <c r="B173" s="320">
        <v>9</v>
      </c>
      <c r="C173" s="320">
        <v>1</v>
      </c>
      <c r="D173" s="320">
        <v>1</v>
      </c>
      <c r="E173" s="318">
        <v>1</v>
      </c>
      <c r="F173" s="321">
        <v>1</v>
      </c>
      <c r="G173" s="329" t="s">
        <v>374</v>
      </c>
      <c r="H173" s="313">
        <v>140</v>
      </c>
      <c r="I173" s="394"/>
      <c r="J173" s="394"/>
      <c r="K173" s="394"/>
      <c r="L173" s="394"/>
    </row>
    <row r="174" spans="1:12" ht="41.25" customHeight="1">
      <c r="A174" s="332">
        <v>2</v>
      </c>
      <c r="B174" s="325">
        <v>9</v>
      </c>
      <c r="C174" s="325">
        <v>2</v>
      </c>
      <c r="D174" s="325"/>
      <c r="E174" s="326"/>
      <c r="F174" s="328"/>
      <c r="G174" s="329" t="s">
        <v>375</v>
      </c>
      <c r="H174" s="313">
        <v>141</v>
      </c>
      <c r="I174" s="331">
        <f>SUM(I175+I180)</f>
        <v>0</v>
      </c>
      <c r="J174" s="331">
        <f t="shared" ref="J174:L174" si="29">SUM(J175+J180)</f>
        <v>0</v>
      </c>
      <c r="K174" s="331">
        <f t="shared" si="29"/>
        <v>0</v>
      </c>
      <c r="L174" s="331">
        <f t="shared" si="29"/>
        <v>0</v>
      </c>
    </row>
    <row r="175" spans="1:12" ht="44.25" customHeight="1">
      <c r="A175" s="332">
        <v>2</v>
      </c>
      <c r="B175" s="325">
        <v>9</v>
      </c>
      <c r="C175" s="325">
        <v>2</v>
      </c>
      <c r="D175" s="320">
        <v>1</v>
      </c>
      <c r="E175" s="318"/>
      <c r="F175" s="321"/>
      <c r="G175" s="340" t="s">
        <v>376</v>
      </c>
      <c r="H175" s="313">
        <v>142</v>
      </c>
      <c r="I175" s="370">
        <f>I176</f>
        <v>0</v>
      </c>
      <c r="J175" s="369">
        <f>J176</f>
        <v>0</v>
      </c>
      <c r="K175" s="370">
        <f>K176</f>
        <v>0</v>
      </c>
      <c r="L175" s="366">
        <f>L176</f>
        <v>0</v>
      </c>
    </row>
    <row r="176" spans="1:12" ht="40.5" customHeight="1">
      <c r="A176" s="350">
        <v>2</v>
      </c>
      <c r="B176" s="320">
        <v>9</v>
      </c>
      <c r="C176" s="320">
        <v>2</v>
      </c>
      <c r="D176" s="325">
        <v>1</v>
      </c>
      <c r="E176" s="326">
        <v>1</v>
      </c>
      <c r="F176" s="328"/>
      <c r="G176" s="340" t="s">
        <v>376</v>
      </c>
      <c r="H176" s="313">
        <v>143</v>
      </c>
      <c r="I176" s="331">
        <f>SUM(I177:I179)</f>
        <v>0</v>
      </c>
      <c r="J176" s="367">
        <f>SUM(J177:J179)</f>
        <v>0</v>
      </c>
      <c r="K176" s="331">
        <f>SUM(K177:K179)</f>
        <v>0</v>
      </c>
      <c r="L176" s="330">
        <f>SUM(L177:L179)</f>
        <v>0</v>
      </c>
    </row>
    <row r="177" spans="1:12" ht="53.25" customHeight="1">
      <c r="A177" s="342">
        <v>2</v>
      </c>
      <c r="B177" s="353">
        <v>9</v>
      </c>
      <c r="C177" s="353">
        <v>2</v>
      </c>
      <c r="D177" s="353">
        <v>1</v>
      </c>
      <c r="E177" s="354">
        <v>1</v>
      </c>
      <c r="F177" s="355">
        <v>1</v>
      </c>
      <c r="G177" s="340" t="s">
        <v>377</v>
      </c>
      <c r="H177" s="313">
        <v>144</v>
      </c>
      <c r="I177" s="397"/>
      <c r="J177" s="333"/>
      <c r="K177" s="333"/>
      <c r="L177" s="333"/>
    </row>
    <row r="178" spans="1:12" ht="51.75" customHeight="1">
      <c r="A178" s="332">
        <v>2</v>
      </c>
      <c r="B178" s="325">
        <v>9</v>
      </c>
      <c r="C178" s="325">
        <v>2</v>
      </c>
      <c r="D178" s="325">
        <v>1</v>
      </c>
      <c r="E178" s="326">
        <v>1</v>
      </c>
      <c r="F178" s="328">
        <v>2</v>
      </c>
      <c r="G178" s="340" t="s">
        <v>378</v>
      </c>
      <c r="H178" s="313">
        <v>145</v>
      </c>
      <c r="I178" s="334"/>
      <c r="J178" s="404"/>
      <c r="K178" s="404"/>
      <c r="L178" s="404"/>
    </row>
    <row r="179" spans="1:12" ht="54.75" customHeight="1">
      <c r="A179" s="332">
        <v>2</v>
      </c>
      <c r="B179" s="325">
        <v>9</v>
      </c>
      <c r="C179" s="325">
        <v>2</v>
      </c>
      <c r="D179" s="325">
        <v>1</v>
      </c>
      <c r="E179" s="326">
        <v>1</v>
      </c>
      <c r="F179" s="328">
        <v>3</v>
      </c>
      <c r="G179" s="340" t="s">
        <v>379</v>
      </c>
      <c r="H179" s="313">
        <v>146</v>
      </c>
      <c r="I179" s="334"/>
      <c r="J179" s="334"/>
      <c r="K179" s="334"/>
      <c r="L179" s="334"/>
    </row>
    <row r="180" spans="1:12" ht="39" customHeight="1">
      <c r="A180" s="405">
        <v>2</v>
      </c>
      <c r="B180" s="405">
        <v>9</v>
      </c>
      <c r="C180" s="405">
        <v>2</v>
      </c>
      <c r="D180" s="405">
        <v>2</v>
      </c>
      <c r="E180" s="405"/>
      <c r="F180" s="405"/>
      <c r="G180" s="329" t="s">
        <v>380</v>
      </c>
      <c r="H180" s="313">
        <v>147</v>
      </c>
      <c r="I180" s="331">
        <f>I181</f>
        <v>0</v>
      </c>
      <c r="J180" s="367">
        <f>J181</f>
        <v>0</v>
      </c>
      <c r="K180" s="331">
        <f>K181</f>
        <v>0</v>
      </c>
      <c r="L180" s="330">
        <f>L181</f>
        <v>0</v>
      </c>
    </row>
    <row r="181" spans="1:12" ht="43.5" customHeight="1">
      <c r="A181" s="332">
        <v>2</v>
      </c>
      <c r="B181" s="325">
        <v>9</v>
      </c>
      <c r="C181" s="325">
        <v>2</v>
      </c>
      <c r="D181" s="325">
        <v>2</v>
      </c>
      <c r="E181" s="326">
        <v>1</v>
      </c>
      <c r="F181" s="328"/>
      <c r="G181" s="340" t="s">
        <v>381</v>
      </c>
      <c r="H181" s="313">
        <v>148</v>
      </c>
      <c r="I181" s="370">
        <f>SUM(I182:I184)</f>
        <v>0</v>
      </c>
      <c r="J181" s="370">
        <f>SUM(J182:J184)</f>
        <v>0</v>
      </c>
      <c r="K181" s="370">
        <f>SUM(K182:K184)</f>
        <v>0</v>
      </c>
      <c r="L181" s="370">
        <f>SUM(L182:L184)</f>
        <v>0</v>
      </c>
    </row>
    <row r="182" spans="1:12" ht="54.75" customHeight="1">
      <c r="A182" s="332">
        <v>2</v>
      </c>
      <c r="B182" s="325">
        <v>9</v>
      </c>
      <c r="C182" s="325">
        <v>2</v>
      </c>
      <c r="D182" s="325">
        <v>2</v>
      </c>
      <c r="E182" s="325">
        <v>1</v>
      </c>
      <c r="F182" s="328">
        <v>1</v>
      </c>
      <c r="G182" s="406" t="s">
        <v>382</v>
      </c>
      <c r="H182" s="313">
        <v>149</v>
      </c>
      <c r="I182" s="334"/>
      <c r="J182" s="333"/>
      <c r="K182" s="333"/>
      <c r="L182" s="333"/>
    </row>
    <row r="183" spans="1:12" ht="54" customHeight="1">
      <c r="A183" s="343">
        <v>2</v>
      </c>
      <c r="B183" s="345">
        <v>9</v>
      </c>
      <c r="C183" s="343">
        <v>2</v>
      </c>
      <c r="D183" s="344">
        <v>2</v>
      </c>
      <c r="E183" s="344">
        <v>1</v>
      </c>
      <c r="F183" s="346">
        <v>2</v>
      </c>
      <c r="G183" s="379" t="s">
        <v>383</v>
      </c>
      <c r="H183" s="313">
        <v>150</v>
      </c>
      <c r="I183" s="333"/>
      <c r="J183" s="335"/>
      <c r="K183" s="335"/>
      <c r="L183" s="335"/>
    </row>
    <row r="184" spans="1:12" ht="54" customHeight="1">
      <c r="A184" s="325">
        <v>2</v>
      </c>
      <c r="B184" s="388">
        <v>9</v>
      </c>
      <c r="C184" s="353">
        <v>2</v>
      </c>
      <c r="D184" s="354">
        <v>2</v>
      </c>
      <c r="E184" s="354">
        <v>1</v>
      </c>
      <c r="F184" s="355">
        <v>3</v>
      </c>
      <c r="G184" s="356" t="s">
        <v>384</v>
      </c>
      <c r="H184" s="313">
        <v>151</v>
      </c>
      <c r="I184" s="404"/>
      <c r="J184" s="404"/>
      <c r="K184" s="404"/>
      <c r="L184" s="404"/>
    </row>
    <row r="185" spans="1:12" ht="76.5" customHeight="1">
      <c r="A185" s="309">
        <v>3</v>
      </c>
      <c r="B185" s="311"/>
      <c r="C185" s="309"/>
      <c r="D185" s="310"/>
      <c r="E185" s="310"/>
      <c r="F185" s="312"/>
      <c r="G185" s="384" t="s">
        <v>385</v>
      </c>
      <c r="H185" s="313">
        <v>152</v>
      </c>
      <c r="I185" s="314">
        <f>SUM(I186+I239+I304)</f>
        <v>6927600</v>
      </c>
      <c r="J185" s="407">
        <f>SUM(J186+J239+J304)</f>
        <v>5184600</v>
      </c>
      <c r="K185" s="315">
        <f>SUM(K186+K239+K304)</f>
        <v>1569678.6800000002</v>
      </c>
      <c r="L185" s="314">
        <f>SUM(L186+L239+L304)</f>
        <v>1569678.6800000002</v>
      </c>
    </row>
    <row r="186" spans="1:12" ht="34.5" customHeight="1">
      <c r="A186" s="374">
        <v>3</v>
      </c>
      <c r="B186" s="309">
        <v>1</v>
      </c>
      <c r="C186" s="337"/>
      <c r="D186" s="317"/>
      <c r="E186" s="317"/>
      <c r="F186" s="396"/>
      <c r="G186" s="365" t="s">
        <v>386</v>
      </c>
      <c r="H186" s="313">
        <v>153</v>
      </c>
      <c r="I186" s="330">
        <f>SUM(I187+I210+I217+I229+I233)</f>
        <v>6927600</v>
      </c>
      <c r="J186" s="366">
        <f>SUM(J187+J210+J217+J229+J233)</f>
        <v>5184600</v>
      </c>
      <c r="K186" s="366">
        <f>SUM(K187+K210+K217+K229+K233)</f>
        <v>1569678.6800000002</v>
      </c>
      <c r="L186" s="366">
        <f>SUM(L187+L210+L217+L229+L233)</f>
        <v>1569678.6800000002</v>
      </c>
    </row>
    <row r="187" spans="1:12" ht="30.75" customHeight="1">
      <c r="A187" s="320">
        <v>3</v>
      </c>
      <c r="B187" s="319">
        <v>1</v>
      </c>
      <c r="C187" s="320">
        <v>1</v>
      </c>
      <c r="D187" s="318"/>
      <c r="E187" s="318"/>
      <c r="F187" s="408"/>
      <c r="G187" s="359" t="s">
        <v>387</v>
      </c>
      <c r="H187" s="313">
        <v>154</v>
      </c>
      <c r="I187" s="366">
        <f>SUM(I188+I191+I196+I202+I207)</f>
        <v>2200100</v>
      </c>
      <c r="J187" s="367">
        <f>SUM(J188+J191+J196+J202+J207)</f>
        <v>2097100</v>
      </c>
      <c r="K187" s="331">
        <f>SUM(K188+K191+K196+K202+K207)</f>
        <v>385466.11</v>
      </c>
      <c r="L187" s="330">
        <f>SUM(L188+L191+L196+L202+L207)</f>
        <v>385466.11</v>
      </c>
    </row>
    <row r="188" spans="1:12" ht="33" customHeight="1">
      <c r="A188" s="325">
        <v>3</v>
      </c>
      <c r="B188" s="327">
        <v>1</v>
      </c>
      <c r="C188" s="325">
        <v>1</v>
      </c>
      <c r="D188" s="326">
        <v>1</v>
      </c>
      <c r="E188" s="326"/>
      <c r="F188" s="409"/>
      <c r="G188" s="359" t="s">
        <v>388</v>
      </c>
      <c r="H188" s="313">
        <v>155</v>
      </c>
      <c r="I188" s="330">
        <f>I189</f>
        <v>0</v>
      </c>
      <c r="J188" s="369">
        <f>J189</f>
        <v>0</v>
      </c>
      <c r="K188" s="370">
        <f>K189</f>
        <v>0</v>
      </c>
      <c r="L188" s="366">
        <f>L189</f>
        <v>0</v>
      </c>
    </row>
    <row r="189" spans="1:12" ht="24" customHeight="1">
      <c r="A189" s="325">
        <v>3</v>
      </c>
      <c r="B189" s="327">
        <v>1</v>
      </c>
      <c r="C189" s="325">
        <v>1</v>
      </c>
      <c r="D189" s="326">
        <v>1</v>
      </c>
      <c r="E189" s="326">
        <v>1</v>
      </c>
      <c r="F189" s="375"/>
      <c r="G189" s="359" t="s">
        <v>388</v>
      </c>
      <c r="H189" s="313">
        <v>156</v>
      </c>
      <c r="I189" s="366">
        <f>I190</f>
        <v>0</v>
      </c>
      <c r="J189" s="330">
        <f t="shared" ref="J189:L189" si="30">J190</f>
        <v>0</v>
      </c>
      <c r="K189" s="330">
        <f t="shared" si="30"/>
        <v>0</v>
      </c>
      <c r="L189" s="330">
        <f t="shared" si="30"/>
        <v>0</v>
      </c>
    </row>
    <row r="190" spans="1:12" ht="31.5" customHeight="1">
      <c r="A190" s="325">
        <v>3</v>
      </c>
      <c r="B190" s="327">
        <v>1</v>
      </c>
      <c r="C190" s="325">
        <v>1</v>
      </c>
      <c r="D190" s="326">
        <v>1</v>
      </c>
      <c r="E190" s="326">
        <v>1</v>
      </c>
      <c r="F190" s="375">
        <v>1</v>
      </c>
      <c r="G190" s="359" t="s">
        <v>388</v>
      </c>
      <c r="H190" s="313">
        <v>157</v>
      </c>
      <c r="I190" s="335"/>
      <c r="J190" s="335"/>
      <c r="K190" s="335"/>
      <c r="L190" s="335"/>
    </row>
    <row r="191" spans="1:12" ht="27.75" customHeight="1">
      <c r="A191" s="320">
        <v>3</v>
      </c>
      <c r="B191" s="318">
        <v>1</v>
      </c>
      <c r="C191" s="318">
        <v>1</v>
      </c>
      <c r="D191" s="318">
        <v>2</v>
      </c>
      <c r="E191" s="318"/>
      <c r="F191" s="321"/>
      <c r="G191" s="340" t="s">
        <v>389</v>
      </c>
      <c r="H191" s="313">
        <v>158</v>
      </c>
      <c r="I191" s="366">
        <f>I192</f>
        <v>0</v>
      </c>
      <c r="J191" s="369">
        <f>J192</f>
        <v>0</v>
      </c>
      <c r="K191" s="370">
        <f>K192</f>
        <v>0</v>
      </c>
      <c r="L191" s="366">
        <f>L192</f>
        <v>0</v>
      </c>
    </row>
    <row r="192" spans="1:12" ht="27.75" customHeight="1">
      <c r="A192" s="325">
        <v>3</v>
      </c>
      <c r="B192" s="326">
        <v>1</v>
      </c>
      <c r="C192" s="326">
        <v>1</v>
      </c>
      <c r="D192" s="326">
        <v>2</v>
      </c>
      <c r="E192" s="326">
        <v>1</v>
      </c>
      <c r="F192" s="328"/>
      <c r="G192" s="340" t="s">
        <v>389</v>
      </c>
      <c r="H192" s="313">
        <v>159</v>
      </c>
      <c r="I192" s="330">
        <f>SUM(I193:I195)</f>
        <v>0</v>
      </c>
      <c r="J192" s="367">
        <f>SUM(J193:J195)</f>
        <v>0</v>
      </c>
      <c r="K192" s="331">
        <f>SUM(K193:K195)</f>
        <v>0</v>
      </c>
      <c r="L192" s="330">
        <f>SUM(L193:L195)</f>
        <v>0</v>
      </c>
    </row>
    <row r="193" spans="1:12" ht="27" customHeight="1">
      <c r="A193" s="320">
        <v>3</v>
      </c>
      <c r="B193" s="318">
        <v>1</v>
      </c>
      <c r="C193" s="318">
        <v>1</v>
      </c>
      <c r="D193" s="318">
        <v>2</v>
      </c>
      <c r="E193" s="318">
        <v>1</v>
      </c>
      <c r="F193" s="321">
        <v>1</v>
      </c>
      <c r="G193" s="340" t="s">
        <v>390</v>
      </c>
      <c r="H193" s="313">
        <v>160</v>
      </c>
      <c r="I193" s="333"/>
      <c r="J193" s="333"/>
      <c r="K193" s="333"/>
      <c r="L193" s="404"/>
    </row>
    <row r="194" spans="1:12" ht="27" customHeight="1">
      <c r="A194" s="325">
        <v>3</v>
      </c>
      <c r="B194" s="326">
        <v>1</v>
      </c>
      <c r="C194" s="326">
        <v>1</v>
      </c>
      <c r="D194" s="326">
        <v>2</v>
      </c>
      <c r="E194" s="326">
        <v>1</v>
      </c>
      <c r="F194" s="328">
        <v>2</v>
      </c>
      <c r="G194" s="329" t="s">
        <v>391</v>
      </c>
      <c r="H194" s="313">
        <v>161</v>
      </c>
      <c r="I194" s="335"/>
      <c r="J194" s="335"/>
      <c r="K194" s="335"/>
      <c r="L194" s="335"/>
    </row>
    <row r="195" spans="1:12" ht="26.25" customHeight="1">
      <c r="A195" s="320">
        <v>3</v>
      </c>
      <c r="B195" s="318">
        <v>1</v>
      </c>
      <c r="C195" s="318">
        <v>1</v>
      </c>
      <c r="D195" s="318">
        <v>2</v>
      </c>
      <c r="E195" s="318">
        <v>1</v>
      </c>
      <c r="F195" s="321">
        <v>3</v>
      </c>
      <c r="G195" s="340" t="s">
        <v>392</v>
      </c>
      <c r="H195" s="313">
        <v>162</v>
      </c>
      <c r="I195" s="333"/>
      <c r="J195" s="333"/>
      <c r="K195" s="333"/>
      <c r="L195" s="404"/>
    </row>
    <row r="196" spans="1:12" ht="27.75" customHeight="1">
      <c r="A196" s="325">
        <v>3</v>
      </c>
      <c r="B196" s="326">
        <v>1</v>
      </c>
      <c r="C196" s="326">
        <v>1</v>
      </c>
      <c r="D196" s="326">
        <v>3</v>
      </c>
      <c r="E196" s="326"/>
      <c r="F196" s="328"/>
      <c r="G196" s="329" t="s">
        <v>393</v>
      </c>
      <c r="H196" s="313">
        <v>163</v>
      </c>
      <c r="I196" s="330">
        <f>I197</f>
        <v>2200100</v>
      </c>
      <c r="J196" s="367">
        <f>J197</f>
        <v>2097100</v>
      </c>
      <c r="K196" s="331">
        <f>K197</f>
        <v>385466.11</v>
      </c>
      <c r="L196" s="330">
        <f>L197</f>
        <v>385466.11</v>
      </c>
    </row>
    <row r="197" spans="1:12" ht="23.25" customHeight="1">
      <c r="A197" s="325">
        <v>3</v>
      </c>
      <c r="B197" s="326">
        <v>1</v>
      </c>
      <c r="C197" s="326">
        <v>1</v>
      </c>
      <c r="D197" s="326">
        <v>3</v>
      </c>
      <c r="E197" s="326">
        <v>1</v>
      </c>
      <c r="F197" s="328"/>
      <c r="G197" s="329" t="s">
        <v>393</v>
      </c>
      <c r="H197" s="313">
        <v>164</v>
      </c>
      <c r="I197" s="330">
        <f>SUM(I198:I201)</f>
        <v>2200100</v>
      </c>
      <c r="J197" s="330">
        <f>J198+J199+J201</f>
        <v>2097100</v>
      </c>
      <c r="K197" s="330">
        <f t="shared" ref="K197:L197" si="31">SUM(K198:K201)</f>
        <v>385466.11</v>
      </c>
      <c r="L197" s="330">
        <f t="shared" si="31"/>
        <v>385466.11</v>
      </c>
    </row>
    <row r="198" spans="1:12" ht="23.25" customHeight="1">
      <c r="A198" s="325">
        <v>3</v>
      </c>
      <c r="B198" s="326">
        <v>1</v>
      </c>
      <c r="C198" s="326">
        <v>1</v>
      </c>
      <c r="D198" s="326">
        <v>3</v>
      </c>
      <c r="E198" s="326">
        <v>1</v>
      </c>
      <c r="F198" s="328">
        <v>1</v>
      </c>
      <c r="G198" s="329" t="s">
        <v>394</v>
      </c>
      <c r="H198" s="313">
        <v>165</v>
      </c>
      <c r="I198" s="335">
        <v>272500</v>
      </c>
      <c r="J198" s="335">
        <v>272500</v>
      </c>
      <c r="K198" s="335"/>
      <c r="L198" s="404"/>
    </row>
    <row r="199" spans="1:12" ht="29.25" customHeight="1">
      <c r="A199" s="325">
        <v>3</v>
      </c>
      <c r="B199" s="326">
        <v>1</v>
      </c>
      <c r="C199" s="326">
        <v>1</v>
      </c>
      <c r="D199" s="326">
        <v>3</v>
      </c>
      <c r="E199" s="326">
        <v>1</v>
      </c>
      <c r="F199" s="328">
        <v>2</v>
      </c>
      <c r="G199" s="329" t="s">
        <v>395</v>
      </c>
      <c r="H199" s="313">
        <v>166</v>
      </c>
      <c r="I199" s="333">
        <f>231000+18600</f>
        <v>249600</v>
      </c>
      <c r="J199" s="335">
        <f>231000+18600</f>
        <v>249600</v>
      </c>
      <c r="K199" s="335">
        <f>1596.12+11546.17</f>
        <v>13142.29</v>
      </c>
      <c r="L199" s="335">
        <f>1596.12+11546.17</f>
        <v>13142.29</v>
      </c>
    </row>
    <row r="200" spans="1:12" ht="27" customHeight="1">
      <c r="A200" s="325">
        <v>3</v>
      </c>
      <c r="B200" s="326">
        <v>1</v>
      </c>
      <c r="C200" s="326">
        <v>1</v>
      </c>
      <c r="D200" s="326">
        <v>3</v>
      </c>
      <c r="E200" s="326">
        <v>1</v>
      </c>
      <c r="F200" s="328">
        <v>3</v>
      </c>
      <c r="G200" s="359" t="s">
        <v>396</v>
      </c>
      <c r="H200" s="313">
        <v>167</v>
      </c>
      <c r="I200" s="333"/>
      <c r="J200" s="357"/>
      <c r="K200" s="357"/>
      <c r="L200" s="357"/>
    </row>
    <row r="201" spans="1:12" ht="26.25">
      <c r="A201" s="410">
        <v>3</v>
      </c>
      <c r="B201" s="411">
        <v>1</v>
      </c>
      <c r="C201" s="411">
        <v>1</v>
      </c>
      <c r="D201" s="411">
        <v>3</v>
      </c>
      <c r="E201" s="411">
        <v>1</v>
      </c>
      <c r="F201" s="412">
        <v>4</v>
      </c>
      <c r="G201" s="413" t="s">
        <v>397</v>
      </c>
      <c r="H201" s="313">
        <v>168</v>
      </c>
      <c r="I201" s="414">
        <f>1676000+2000</f>
        <v>1678000</v>
      </c>
      <c r="J201" s="415">
        <f>1573000+2000</f>
        <v>1575000</v>
      </c>
      <c r="K201" s="335">
        <v>372323.82</v>
      </c>
      <c r="L201" s="335">
        <v>372323.82</v>
      </c>
    </row>
    <row r="202" spans="1:12" ht="27" customHeight="1">
      <c r="A202" s="343">
        <v>3</v>
      </c>
      <c r="B202" s="344">
        <v>1</v>
      </c>
      <c r="C202" s="344">
        <v>1</v>
      </c>
      <c r="D202" s="344">
        <v>4</v>
      </c>
      <c r="E202" s="344"/>
      <c r="F202" s="346"/>
      <c r="G202" s="416" t="s">
        <v>398</v>
      </c>
      <c r="H202" s="313">
        <v>169</v>
      </c>
      <c r="I202" s="330">
        <f>I203</f>
        <v>0</v>
      </c>
      <c r="J202" s="371">
        <f>J203</f>
        <v>0</v>
      </c>
      <c r="K202" s="372">
        <f>K203</f>
        <v>0</v>
      </c>
      <c r="L202" s="341">
        <f>L203</f>
        <v>0</v>
      </c>
    </row>
    <row r="203" spans="1:12" ht="27.75" customHeight="1">
      <c r="A203" s="325">
        <v>3</v>
      </c>
      <c r="B203" s="326">
        <v>1</v>
      </c>
      <c r="C203" s="326">
        <v>1</v>
      </c>
      <c r="D203" s="326">
        <v>4</v>
      </c>
      <c r="E203" s="326">
        <v>1</v>
      </c>
      <c r="F203" s="328"/>
      <c r="G203" s="379" t="s">
        <v>398</v>
      </c>
      <c r="H203" s="313">
        <v>170</v>
      </c>
      <c r="I203" s="366">
        <f>SUM(I204:I206)</f>
        <v>0</v>
      </c>
      <c r="J203" s="367">
        <f>SUM(J204:J206)</f>
        <v>0</v>
      </c>
      <c r="K203" s="331">
        <f>SUM(K204:K206)</f>
        <v>0</v>
      </c>
      <c r="L203" s="330">
        <f>SUM(L204:L206)</f>
        <v>0</v>
      </c>
    </row>
    <row r="204" spans="1:12" ht="24.75" customHeight="1">
      <c r="A204" s="325">
        <v>3</v>
      </c>
      <c r="B204" s="326">
        <v>1</v>
      </c>
      <c r="C204" s="326">
        <v>1</v>
      </c>
      <c r="D204" s="326">
        <v>4</v>
      </c>
      <c r="E204" s="326">
        <v>1</v>
      </c>
      <c r="F204" s="328">
        <v>1</v>
      </c>
      <c r="G204" s="329" t="s">
        <v>399</v>
      </c>
      <c r="H204" s="313">
        <v>171</v>
      </c>
      <c r="I204" s="335"/>
      <c r="J204" s="335"/>
      <c r="K204" s="335"/>
      <c r="L204" s="404"/>
    </row>
    <row r="205" spans="1:12" ht="25.5" customHeight="1">
      <c r="A205" s="320">
        <v>3</v>
      </c>
      <c r="B205" s="318">
        <v>1</v>
      </c>
      <c r="C205" s="318">
        <v>1</v>
      </c>
      <c r="D205" s="318">
        <v>4</v>
      </c>
      <c r="E205" s="318">
        <v>1</v>
      </c>
      <c r="F205" s="321">
        <v>2</v>
      </c>
      <c r="G205" s="340" t="s">
        <v>400</v>
      </c>
      <c r="H205" s="313">
        <v>172</v>
      </c>
      <c r="I205" s="333"/>
      <c r="J205" s="333"/>
      <c r="K205" s="334"/>
      <c r="L205" s="335"/>
    </row>
    <row r="206" spans="1:12" ht="31.5" customHeight="1">
      <c r="A206" s="325">
        <v>3</v>
      </c>
      <c r="B206" s="326">
        <v>1</v>
      </c>
      <c r="C206" s="326">
        <v>1</v>
      </c>
      <c r="D206" s="326">
        <v>4</v>
      </c>
      <c r="E206" s="326">
        <v>1</v>
      </c>
      <c r="F206" s="328">
        <v>3</v>
      </c>
      <c r="G206" s="329" t="s">
        <v>401</v>
      </c>
      <c r="H206" s="313">
        <v>173</v>
      </c>
      <c r="I206" s="333"/>
      <c r="J206" s="333"/>
      <c r="K206" s="333"/>
      <c r="L206" s="335"/>
    </row>
    <row r="207" spans="1:12" ht="25.5" customHeight="1">
      <c r="A207" s="325">
        <v>3</v>
      </c>
      <c r="B207" s="326">
        <v>1</v>
      </c>
      <c r="C207" s="326">
        <v>1</v>
      </c>
      <c r="D207" s="326">
        <v>5</v>
      </c>
      <c r="E207" s="326"/>
      <c r="F207" s="328"/>
      <c r="G207" s="329" t="s">
        <v>402</v>
      </c>
      <c r="H207" s="313">
        <v>174</v>
      </c>
      <c r="I207" s="330">
        <f>I208</f>
        <v>0</v>
      </c>
      <c r="J207" s="367">
        <f t="shared" ref="J207:L208" si="32">J208</f>
        <v>0</v>
      </c>
      <c r="K207" s="331">
        <f t="shared" si="32"/>
        <v>0</v>
      </c>
      <c r="L207" s="330">
        <f t="shared" si="32"/>
        <v>0</v>
      </c>
    </row>
    <row r="208" spans="1:12" ht="26.25" customHeight="1">
      <c r="A208" s="343">
        <v>3</v>
      </c>
      <c r="B208" s="344">
        <v>1</v>
      </c>
      <c r="C208" s="344">
        <v>1</v>
      </c>
      <c r="D208" s="344">
        <v>5</v>
      </c>
      <c r="E208" s="344">
        <v>1</v>
      </c>
      <c r="F208" s="346"/>
      <c r="G208" s="329" t="s">
        <v>402</v>
      </c>
      <c r="H208" s="313">
        <v>175</v>
      </c>
      <c r="I208" s="331">
        <f>I209</f>
        <v>0</v>
      </c>
      <c r="J208" s="331">
        <f t="shared" si="32"/>
        <v>0</v>
      </c>
      <c r="K208" s="331">
        <f t="shared" si="32"/>
        <v>0</v>
      </c>
      <c r="L208" s="331">
        <f t="shared" si="32"/>
        <v>0</v>
      </c>
    </row>
    <row r="209" spans="1:16" ht="27" customHeight="1">
      <c r="A209" s="325">
        <v>3</v>
      </c>
      <c r="B209" s="326">
        <v>1</v>
      </c>
      <c r="C209" s="326">
        <v>1</v>
      </c>
      <c r="D209" s="326">
        <v>5</v>
      </c>
      <c r="E209" s="326">
        <v>1</v>
      </c>
      <c r="F209" s="328">
        <v>1</v>
      </c>
      <c r="G209" s="329" t="s">
        <v>402</v>
      </c>
      <c r="H209" s="313">
        <v>176</v>
      </c>
      <c r="I209" s="333"/>
      <c r="J209" s="335"/>
      <c r="K209" s="335"/>
      <c r="L209" s="335"/>
    </row>
    <row r="210" spans="1:16" ht="26.25" customHeight="1">
      <c r="A210" s="343">
        <v>3</v>
      </c>
      <c r="B210" s="344">
        <v>1</v>
      </c>
      <c r="C210" s="344">
        <v>2</v>
      </c>
      <c r="D210" s="344"/>
      <c r="E210" s="344"/>
      <c r="F210" s="346"/>
      <c r="G210" s="379" t="s">
        <v>403</v>
      </c>
      <c r="H210" s="313">
        <v>177</v>
      </c>
      <c r="I210" s="330">
        <f>I211</f>
        <v>4727500</v>
      </c>
      <c r="J210" s="371">
        <f t="shared" ref="I210:L211" si="33">J211</f>
        <v>3087500</v>
      </c>
      <c r="K210" s="372">
        <f t="shared" si="33"/>
        <v>1184212.57</v>
      </c>
      <c r="L210" s="341">
        <f t="shared" si="33"/>
        <v>1184212.57</v>
      </c>
    </row>
    <row r="211" spans="1:16" ht="25.5" customHeight="1">
      <c r="A211" s="325">
        <v>3</v>
      </c>
      <c r="B211" s="326">
        <v>1</v>
      </c>
      <c r="C211" s="326">
        <v>2</v>
      </c>
      <c r="D211" s="326">
        <v>1</v>
      </c>
      <c r="E211" s="326"/>
      <c r="F211" s="328"/>
      <c r="G211" s="379" t="s">
        <v>403</v>
      </c>
      <c r="H211" s="313">
        <v>178</v>
      </c>
      <c r="I211" s="366">
        <f t="shared" si="33"/>
        <v>4727500</v>
      </c>
      <c r="J211" s="367">
        <f t="shared" si="33"/>
        <v>3087500</v>
      </c>
      <c r="K211" s="331">
        <f t="shared" si="33"/>
        <v>1184212.57</v>
      </c>
      <c r="L211" s="330">
        <f t="shared" si="33"/>
        <v>1184212.57</v>
      </c>
    </row>
    <row r="212" spans="1:16" ht="26.25" customHeight="1">
      <c r="A212" s="320">
        <v>3</v>
      </c>
      <c r="B212" s="318">
        <v>1</v>
      </c>
      <c r="C212" s="318">
        <v>2</v>
      </c>
      <c r="D212" s="318">
        <v>1</v>
      </c>
      <c r="E212" s="318">
        <v>1</v>
      </c>
      <c r="F212" s="321"/>
      <c r="G212" s="379" t="s">
        <v>403</v>
      </c>
      <c r="H212" s="313">
        <v>179</v>
      </c>
      <c r="I212" s="330">
        <f>SUM(I213:I216)</f>
        <v>4727500</v>
      </c>
      <c r="J212" s="369">
        <f>SUM(J213:J216)</f>
        <v>3087500</v>
      </c>
      <c r="K212" s="370">
        <f>SUM(K213:K216)</f>
        <v>1184212.57</v>
      </c>
      <c r="L212" s="366">
        <f>SUM(L213:L216)</f>
        <v>1184212.57</v>
      </c>
    </row>
    <row r="213" spans="1:16" ht="41.25" customHeight="1">
      <c r="A213" s="325">
        <v>3</v>
      </c>
      <c r="B213" s="326">
        <v>1</v>
      </c>
      <c r="C213" s="326">
        <v>2</v>
      </c>
      <c r="D213" s="326">
        <v>1</v>
      </c>
      <c r="E213" s="326">
        <v>1</v>
      </c>
      <c r="F213" s="362">
        <v>2</v>
      </c>
      <c r="G213" s="329" t="s">
        <v>404</v>
      </c>
      <c r="H213" s="313">
        <v>180</v>
      </c>
      <c r="I213" s="335">
        <v>4727500</v>
      </c>
      <c r="J213" s="335">
        <v>3087500</v>
      </c>
      <c r="K213" s="335">
        <v>1184212.57</v>
      </c>
      <c r="L213" s="335">
        <v>1184212.57</v>
      </c>
    </row>
    <row r="214" spans="1:16" ht="26.25" customHeight="1">
      <c r="A214" s="325">
        <v>3</v>
      </c>
      <c r="B214" s="326">
        <v>1</v>
      </c>
      <c r="C214" s="326">
        <v>2</v>
      </c>
      <c r="D214" s="325">
        <v>1</v>
      </c>
      <c r="E214" s="326">
        <v>1</v>
      </c>
      <c r="F214" s="362">
        <v>3</v>
      </c>
      <c r="G214" s="329" t="s">
        <v>405</v>
      </c>
      <c r="H214" s="313">
        <v>181</v>
      </c>
      <c r="I214" s="335"/>
      <c r="J214" s="335"/>
      <c r="K214" s="335"/>
      <c r="L214" s="335"/>
    </row>
    <row r="215" spans="1:16" ht="27.75" customHeight="1">
      <c r="A215" s="325">
        <v>3</v>
      </c>
      <c r="B215" s="326">
        <v>1</v>
      </c>
      <c r="C215" s="326">
        <v>2</v>
      </c>
      <c r="D215" s="325">
        <v>1</v>
      </c>
      <c r="E215" s="326">
        <v>1</v>
      </c>
      <c r="F215" s="362">
        <v>4</v>
      </c>
      <c r="G215" s="329" t="s">
        <v>406</v>
      </c>
      <c r="H215" s="313">
        <v>182</v>
      </c>
      <c r="I215" s="335"/>
      <c r="J215" s="335"/>
      <c r="K215" s="335"/>
      <c r="L215" s="335"/>
    </row>
    <row r="216" spans="1:16" ht="27" customHeight="1">
      <c r="A216" s="343">
        <v>3</v>
      </c>
      <c r="B216" s="354">
        <v>1</v>
      </c>
      <c r="C216" s="354">
        <v>2</v>
      </c>
      <c r="D216" s="353">
        <v>1</v>
      </c>
      <c r="E216" s="354">
        <v>1</v>
      </c>
      <c r="F216" s="400">
        <v>5</v>
      </c>
      <c r="G216" s="356" t="s">
        <v>407</v>
      </c>
      <c r="H216" s="313">
        <v>183</v>
      </c>
      <c r="I216" s="335"/>
      <c r="J216" s="335"/>
      <c r="K216" s="335"/>
      <c r="L216" s="404"/>
    </row>
    <row r="217" spans="1:16" ht="29.25" customHeight="1">
      <c r="A217" s="325">
        <v>3</v>
      </c>
      <c r="B217" s="326">
        <v>1</v>
      </c>
      <c r="C217" s="326">
        <v>3</v>
      </c>
      <c r="D217" s="325"/>
      <c r="E217" s="326"/>
      <c r="F217" s="328"/>
      <c r="G217" s="329" t="s">
        <v>408</v>
      </c>
      <c r="H217" s="313">
        <v>184</v>
      </c>
      <c r="I217" s="330">
        <f>SUM(I218+I221)</f>
        <v>0</v>
      </c>
      <c r="J217" s="367">
        <f>SUM(J218+J221)</f>
        <v>0</v>
      </c>
      <c r="K217" s="331">
        <f>SUM(K218+K221)</f>
        <v>0</v>
      </c>
      <c r="L217" s="330">
        <f>SUM(L218+L221)</f>
        <v>0</v>
      </c>
    </row>
    <row r="218" spans="1:16" ht="27.75" customHeight="1">
      <c r="A218" s="320">
        <v>3</v>
      </c>
      <c r="B218" s="318">
        <v>1</v>
      </c>
      <c r="C218" s="318">
        <v>3</v>
      </c>
      <c r="D218" s="320">
        <v>1</v>
      </c>
      <c r="E218" s="325"/>
      <c r="F218" s="321"/>
      <c r="G218" s="340" t="s">
        <v>409</v>
      </c>
      <c r="H218" s="313">
        <v>185</v>
      </c>
      <c r="I218" s="366">
        <f>I219</f>
        <v>0</v>
      </c>
      <c r="J218" s="369">
        <f t="shared" ref="I218:L219" si="34">J219</f>
        <v>0</v>
      </c>
      <c r="K218" s="370">
        <f t="shared" si="34"/>
        <v>0</v>
      </c>
      <c r="L218" s="366">
        <f t="shared" si="34"/>
        <v>0</v>
      </c>
    </row>
    <row r="219" spans="1:16" ht="30.75" customHeight="1">
      <c r="A219" s="325">
        <v>3</v>
      </c>
      <c r="B219" s="326">
        <v>1</v>
      </c>
      <c r="C219" s="326">
        <v>3</v>
      </c>
      <c r="D219" s="325">
        <v>1</v>
      </c>
      <c r="E219" s="325">
        <v>1</v>
      </c>
      <c r="F219" s="328"/>
      <c r="G219" s="340" t="s">
        <v>409</v>
      </c>
      <c r="H219" s="313">
        <v>186</v>
      </c>
      <c r="I219" s="330">
        <f t="shared" si="34"/>
        <v>0</v>
      </c>
      <c r="J219" s="367">
        <f t="shared" si="34"/>
        <v>0</v>
      </c>
      <c r="K219" s="331">
        <f t="shared" si="34"/>
        <v>0</v>
      </c>
      <c r="L219" s="330">
        <f t="shared" si="34"/>
        <v>0</v>
      </c>
    </row>
    <row r="220" spans="1:16" ht="27.75" customHeight="1">
      <c r="A220" s="325">
        <v>3</v>
      </c>
      <c r="B220" s="327">
        <v>1</v>
      </c>
      <c r="C220" s="325">
        <v>3</v>
      </c>
      <c r="D220" s="326">
        <v>1</v>
      </c>
      <c r="E220" s="326">
        <v>1</v>
      </c>
      <c r="F220" s="328">
        <v>1</v>
      </c>
      <c r="G220" s="340" t="s">
        <v>409</v>
      </c>
      <c r="H220" s="313">
        <v>187</v>
      </c>
      <c r="I220" s="404"/>
      <c r="J220" s="404"/>
      <c r="K220" s="404"/>
      <c r="L220" s="404"/>
    </row>
    <row r="221" spans="1:16" ht="30.75" customHeight="1">
      <c r="A221" s="325">
        <v>3</v>
      </c>
      <c r="B221" s="327">
        <v>1</v>
      </c>
      <c r="C221" s="325">
        <v>3</v>
      </c>
      <c r="D221" s="326">
        <v>2</v>
      </c>
      <c r="E221" s="326"/>
      <c r="F221" s="328"/>
      <c r="G221" s="329" t="s">
        <v>410</v>
      </c>
      <c r="H221" s="313">
        <v>188</v>
      </c>
      <c r="I221" s="330">
        <f>I222</f>
        <v>0</v>
      </c>
      <c r="J221" s="367">
        <f>J222</f>
        <v>0</v>
      </c>
      <c r="K221" s="331">
        <f>K222</f>
        <v>0</v>
      </c>
      <c r="L221" s="330">
        <f>L222</f>
        <v>0</v>
      </c>
    </row>
    <row r="222" spans="1:16" ht="27" customHeight="1">
      <c r="A222" s="320">
        <v>3</v>
      </c>
      <c r="B222" s="319">
        <v>1</v>
      </c>
      <c r="C222" s="320">
        <v>3</v>
      </c>
      <c r="D222" s="318">
        <v>2</v>
      </c>
      <c r="E222" s="318">
        <v>1</v>
      </c>
      <c r="F222" s="321"/>
      <c r="G222" s="329" t="s">
        <v>410</v>
      </c>
      <c r="H222" s="313">
        <v>189</v>
      </c>
      <c r="I222" s="330">
        <f t="shared" ref="I222:P222" si="35">SUM(I223:I228)</f>
        <v>0</v>
      </c>
      <c r="J222" s="330">
        <f t="shared" si="35"/>
        <v>0</v>
      </c>
      <c r="K222" s="330">
        <f t="shared" si="35"/>
        <v>0</v>
      </c>
      <c r="L222" s="330">
        <f t="shared" si="35"/>
        <v>0</v>
      </c>
      <c r="M222" s="417">
        <f t="shared" si="35"/>
        <v>0</v>
      </c>
      <c r="N222" s="417">
        <f t="shared" si="35"/>
        <v>0</v>
      </c>
      <c r="O222" s="417">
        <f t="shared" si="35"/>
        <v>0</v>
      </c>
      <c r="P222" s="417">
        <f t="shared" si="35"/>
        <v>0</v>
      </c>
    </row>
    <row r="223" spans="1:16" ht="24.75" customHeight="1">
      <c r="A223" s="325">
        <v>3</v>
      </c>
      <c r="B223" s="327">
        <v>1</v>
      </c>
      <c r="C223" s="325">
        <v>3</v>
      </c>
      <c r="D223" s="326">
        <v>2</v>
      </c>
      <c r="E223" s="326">
        <v>1</v>
      </c>
      <c r="F223" s="328">
        <v>1</v>
      </c>
      <c r="G223" s="329" t="s">
        <v>411</v>
      </c>
      <c r="H223" s="313">
        <v>190</v>
      </c>
      <c r="I223" s="335"/>
      <c r="J223" s="335"/>
      <c r="K223" s="335"/>
      <c r="L223" s="404"/>
    </row>
    <row r="224" spans="1:16" ht="26.25" customHeight="1">
      <c r="A224" s="325">
        <v>3</v>
      </c>
      <c r="B224" s="327">
        <v>1</v>
      </c>
      <c r="C224" s="325">
        <v>3</v>
      </c>
      <c r="D224" s="326">
        <v>2</v>
      </c>
      <c r="E224" s="326">
        <v>1</v>
      </c>
      <c r="F224" s="328">
        <v>2</v>
      </c>
      <c r="G224" s="329" t="s">
        <v>412</v>
      </c>
      <c r="H224" s="313">
        <v>191</v>
      </c>
      <c r="I224" s="335"/>
      <c r="J224" s="335"/>
      <c r="K224" s="335"/>
      <c r="L224" s="335"/>
    </row>
    <row r="225" spans="1:12" ht="26.25" customHeight="1">
      <c r="A225" s="325">
        <v>3</v>
      </c>
      <c r="B225" s="327">
        <v>1</v>
      </c>
      <c r="C225" s="325">
        <v>3</v>
      </c>
      <c r="D225" s="326">
        <v>2</v>
      </c>
      <c r="E225" s="326">
        <v>1</v>
      </c>
      <c r="F225" s="328">
        <v>3</v>
      </c>
      <c r="G225" s="329" t="s">
        <v>413</v>
      </c>
      <c r="H225" s="313">
        <v>192</v>
      </c>
      <c r="I225" s="335"/>
      <c r="J225" s="335"/>
      <c r="K225" s="335"/>
      <c r="L225" s="335"/>
    </row>
    <row r="226" spans="1:12" ht="27.75" customHeight="1">
      <c r="A226" s="325">
        <v>3</v>
      </c>
      <c r="B226" s="327">
        <v>1</v>
      </c>
      <c r="C226" s="325">
        <v>3</v>
      </c>
      <c r="D226" s="326">
        <v>2</v>
      </c>
      <c r="E226" s="326">
        <v>1</v>
      </c>
      <c r="F226" s="328">
        <v>4</v>
      </c>
      <c r="G226" s="329" t="s">
        <v>414</v>
      </c>
      <c r="H226" s="313">
        <v>193</v>
      </c>
      <c r="I226" s="335"/>
      <c r="J226" s="335"/>
      <c r="K226" s="335"/>
      <c r="L226" s="404"/>
    </row>
    <row r="227" spans="1:12" ht="29.25" customHeight="1">
      <c r="A227" s="325">
        <v>3</v>
      </c>
      <c r="B227" s="327">
        <v>1</v>
      </c>
      <c r="C227" s="325">
        <v>3</v>
      </c>
      <c r="D227" s="326">
        <v>2</v>
      </c>
      <c r="E227" s="326">
        <v>1</v>
      </c>
      <c r="F227" s="328">
        <v>5</v>
      </c>
      <c r="G227" s="340" t="s">
        <v>415</v>
      </c>
      <c r="H227" s="313">
        <v>194</v>
      </c>
      <c r="I227" s="335"/>
      <c r="J227" s="335"/>
      <c r="K227" s="335"/>
      <c r="L227" s="335"/>
    </row>
    <row r="228" spans="1:12" ht="25.5" customHeight="1">
      <c r="A228" s="360">
        <v>3</v>
      </c>
      <c r="B228" s="329">
        <v>1</v>
      </c>
      <c r="C228" s="360">
        <v>3</v>
      </c>
      <c r="D228" s="361">
        <v>2</v>
      </c>
      <c r="E228" s="361">
        <v>1</v>
      </c>
      <c r="F228" s="362">
        <v>6</v>
      </c>
      <c r="G228" s="340" t="s">
        <v>410</v>
      </c>
      <c r="H228" s="313">
        <v>195</v>
      </c>
      <c r="I228" s="335"/>
      <c r="J228" s="335"/>
      <c r="K228" s="335"/>
      <c r="L228" s="404"/>
    </row>
    <row r="229" spans="1:12" ht="27" customHeight="1">
      <c r="A229" s="320">
        <v>3</v>
      </c>
      <c r="B229" s="318">
        <v>1</v>
      </c>
      <c r="C229" s="318">
        <v>4</v>
      </c>
      <c r="D229" s="318"/>
      <c r="E229" s="318"/>
      <c r="F229" s="321"/>
      <c r="G229" s="340" t="s">
        <v>416</v>
      </c>
      <c r="H229" s="313">
        <v>196</v>
      </c>
      <c r="I229" s="366">
        <f>I230</f>
        <v>0</v>
      </c>
      <c r="J229" s="369">
        <f t="shared" ref="J229:L231" si="36">J230</f>
        <v>0</v>
      </c>
      <c r="K229" s="370">
        <f t="shared" si="36"/>
        <v>0</v>
      </c>
      <c r="L229" s="370">
        <f t="shared" si="36"/>
        <v>0</v>
      </c>
    </row>
    <row r="230" spans="1:12" ht="27" customHeight="1">
      <c r="A230" s="343">
        <v>3</v>
      </c>
      <c r="B230" s="354">
        <v>1</v>
      </c>
      <c r="C230" s="354">
        <v>4</v>
      </c>
      <c r="D230" s="354">
        <v>1</v>
      </c>
      <c r="E230" s="354"/>
      <c r="F230" s="355"/>
      <c r="G230" s="340" t="s">
        <v>416</v>
      </c>
      <c r="H230" s="313">
        <v>197</v>
      </c>
      <c r="I230" s="347">
        <f>I231</f>
        <v>0</v>
      </c>
      <c r="J230" s="390">
        <f t="shared" si="36"/>
        <v>0</v>
      </c>
      <c r="K230" s="348">
        <f t="shared" si="36"/>
        <v>0</v>
      </c>
      <c r="L230" s="348">
        <f t="shared" si="36"/>
        <v>0</v>
      </c>
    </row>
    <row r="231" spans="1:12" ht="27.75" customHeight="1">
      <c r="A231" s="325">
        <v>3</v>
      </c>
      <c r="B231" s="326">
        <v>1</v>
      </c>
      <c r="C231" s="326">
        <v>4</v>
      </c>
      <c r="D231" s="326">
        <v>1</v>
      </c>
      <c r="E231" s="326">
        <v>1</v>
      </c>
      <c r="F231" s="328"/>
      <c r="G231" s="340" t="s">
        <v>417</v>
      </c>
      <c r="H231" s="313">
        <v>198</v>
      </c>
      <c r="I231" s="330">
        <f>I232</f>
        <v>0</v>
      </c>
      <c r="J231" s="367">
        <f t="shared" si="36"/>
        <v>0</v>
      </c>
      <c r="K231" s="331">
        <f t="shared" si="36"/>
        <v>0</v>
      </c>
      <c r="L231" s="331">
        <f t="shared" si="36"/>
        <v>0</v>
      </c>
    </row>
    <row r="232" spans="1:12" ht="27" customHeight="1">
      <c r="A232" s="332">
        <v>3</v>
      </c>
      <c r="B232" s="325">
        <v>1</v>
      </c>
      <c r="C232" s="326">
        <v>4</v>
      </c>
      <c r="D232" s="326">
        <v>1</v>
      </c>
      <c r="E232" s="326">
        <v>1</v>
      </c>
      <c r="F232" s="328">
        <v>1</v>
      </c>
      <c r="G232" s="340" t="s">
        <v>417</v>
      </c>
      <c r="H232" s="313">
        <v>199</v>
      </c>
      <c r="I232" s="335"/>
      <c r="J232" s="335"/>
      <c r="K232" s="335"/>
      <c r="L232" s="335"/>
    </row>
    <row r="233" spans="1:12" ht="26.25" customHeight="1">
      <c r="A233" s="332">
        <v>3</v>
      </c>
      <c r="B233" s="326">
        <v>1</v>
      </c>
      <c r="C233" s="326">
        <v>5</v>
      </c>
      <c r="D233" s="326"/>
      <c r="E233" s="326"/>
      <c r="F233" s="328"/>
      <c r="G233" s="329" t="s">
        <v>418</v>
      </c>
      <c r="H233" s="313">
        <v>200</v>
      </c>
      <c r="I233" s="330">
        <f>I234</f>
        <v>0</v>
      </c>
      <c r="J233" s="330">
        <f t="shared" ref="J233:L234" si="37">J234</f>
        <v>0</v>
      </c>
      <c r="K233" s="330">
        <f t="shared" si="37"/>
        <v>0</v>
      </c>
      <c r="L233" s="330">
        <f t="shared" si="37"/>
        <v>0</v>
      </c>
    </row>
    <row r="234" spans="1:12" ht="30" customHeight="1">
      <c r="A234" s="332">
        <v>3</v>
      </c>
      <c r="B234" s="326">
        <v>1</v>
      </c>
      <c r="C234" s="326">
        <v>5</v>
      </c>
      <c r="D234" s="326">
        <v>1</v>
      </c>
      <c r="E234" s="326"/>
      <c r="F234" s="328"/>
      <c r="G234" s="329" t="s">
        <v>418</v>
      </c>
      <c r="H234" s="313">
        <v>201</v>
      </c>
      <c r="I234" s="330">
        <f>I235</f>
        <v>0</v>
      </c>
      <c r="J234" s="330">
        <f t="shared" si="37"/>
        <v>0</v>
      </c>
      <c r="K234" s="330">
        <f t="shared" si="37"/>
        <v>0</v>
      </c>
      <c r="L234" s="330">
        <f t="shared" si="37"/>
        <v>0</v>
      </c>
    </row>
    <row r="235" spans="1:12" ht="27" customHeight="1">
      <c r="A235" s="332">
        <v>3</v>
      </c>
      <c r="B235" s="326">
        <v>1</v>
      </c>
      <c r="C235" s="326">
        <v>5</v>
      </c>
      <c r="D235" s="326">
        <v>1</v>
      </c>
      <c r="E235" s="326">
        <v>1</v>
      </c>
      <c r="F235" s="328"/>
      <c r="G235" s="329" t="s">
        <v>418</v>
      </c>
      <c r="H235" s="313">
        <v>202</v>
      </c>
      <c r="I235" s="330">
        <f>SUM(I236:I238)</f>
        <v>0</v>
      </c>
      <c r="J235" s="330">
        <f>SUM(J236:J238)</f>
        <v>0</v>
      </c>
      <c r="K235" s="330">
        <f>SUM(K236:K238)</f>
        <v>0</v>
      </c>
      <c r="L235" s="330">
        <f>SUM(L236:L238)</f>
        <v>0</v>
      </c>
    </row>
    <row r="236" spans="1:12" ht="31.5" customHeight="1">
      <c r="A236" s="332">
        <v>3</v>
      </c>
      <c r="B236" s="326">
        <v>1</v>
      </c>
      <c r="C236" s="326">
        <v>5</v>
      </c>
      <c r="D236" s="326">
        <v>1</v>
      </c>
      <c r="E236" s="326">
        <v>1</v>
      </c>
      <c r="F236" s="328">
        <v>1</v>
      </c>
      <c r="G236" s="406" t="s">
        <v>419</v>
      </c>
      <c r="H236" s="313">
        <v>203</v>
      </c>
      <c r="I236" s="335"/>
      <c r="J236" s="335"/>
      <c r="K236" s="335"/>
      <c r="L236" s="335"/>
    </row>
    <row r="237" spans="1:12" ht="25.5" customHeight="1">
      <c r="A237" s="332">
        <v>3</v>
      </c>
      <c r="B237" s="326">
        <v>1</v>
      </c>
      <c r="C237" s="326">
        <v>5</v>
      </c>
      <c r="D237" s="326">
        <v>1</v>
      </c>
      <c r="E237" s="326">
        <v>1</v>
      </c>
      <c r="F237" s="328">
        <v>2</v>
      </c>
      <c r="G237" s="406" t="s">
        <v>420</v>
      </c>
      <c r="H237" s="313">
        <v>204</v>
      </c>
      <c r="I237" s="335"/>
      <c r="J237" s="335"/>
      <c r="K237" s="335"/>
      <c r="L237" s="335"/>
    </row>
    <row r="238" spans="1:12" ht="28.5" customHeight="1">
      <c r="A238" s="332">
        <v>3</v>
      </c>
      <c r="B238" s="326">
        <v>1</v>
      </c>
      <c r="C238" s="326">
        <v>5</v>
      </c>
      <c r="D238" s="326">
        <v>1</v>
      </c>
      <c r="E238" s="326">
        <v>1</v>
      </c>
      <c r="F238" s="328">
        <v>3</v>
      </c>
      <c r="G238" s="406" t="s">
        <v>421</v>
      </c>
      <c r="H238" s="313">
        <v>205</v>
      </c>
      <c r="I238" s="335"/>
      <c r="J238" s="335"/>
      <c r="K238" s="335"/>
      <c r="L238" s="335"/>
    </row>
    <row r="239" spans="1:12" ht="41.25" customHeight="1">
      <c r="A239" s="309">
        <v>3</v>
      </c>
      <c r="B239" s="310">
        <v>2</v>
      </c>
      <c r="C239" s="310"/>
      <c r="D239" s="310"/>
      <c r="E239" s="310"/>
      <c r="F239" s="312"/>
      <c r="G239" s="311" t="s">
        <v>422</v>
      </c>
      <c r="H239" s="313">
        <v>206</v>
      </c>
      <c r="I239" s="330">
        <f>SUM(I240+I272)</f>
        <v>0</v>
      </c>
      <c r="J239" s="367">
        <f>SUM(J240+J272)</f>
        <v>0</v>
      </c>
      <c r="K239" s="331">
        <f>SUM(K240+K272)</f>
        <v>0</v>
      </c>
      <c r="L239" s="331">
        <f>SUM(L240+L272)</f>
        <v>0</v>
      </c>
    </row>
    <row r="240" spans="1:12" ht="26.25" customHeight="1">
      <c r="A240" s="381">
        <v>3</v>
      </c>
      <c r="B240" s="398">
        <v>2</v>
      </c>
      <c r="C240" s="399">
        <v>1</v>
      </c>
      <c r="D240" s="399"/>
      <c r="E240" s="399"/>
      <c r="F240" s="400"/>
      <c r="G240" s="356" t="s">
        <v>423</v>
      </c>
      <c r="H240" s="313">
        <v>207</v>
      </c>
      <c r="I240" s="347">
        <f>SUM(I241+I250+I254+I258+I262+I265+I268)</f>
        <v>0</v>
      </c>
      <c r="J240" s="390">
        <f>SUM(J241+J250+J254+J258+J262+J265+J268)</f>
        <v>0</v>
      </c>
      <c r="K240" s="348">
        <f>SUM(K241+K250+K254+K258+K262+K265+K268)</f>
        <v>0</v>
      </c>
      <c r="L240" s="348">
        <f>SUM(L241+L250+L254+L258+L262+L265+L268)</f>
        <v>0</v>
      </c>
    </row>
    <row r="241" spans="1:12" ht="30" customHeight="1">
      <c r="A241" s="360">
        <v>3</v>
      </c>
      <c r="B241" s="361">
        <v>2</v>
      </c>
      <c r="C241" s="361">
        <v>1</v>
      </c>
      <c r="D241" s="361">
        <v>1</v>
      </c>
      <c r="E241" s="361"/>
      <c r="F241" s="362"/>
      <c r="G241" s="329" t="s">
        <v>424</v>
      </c>
      <c r="H241" s="313">
        <v>208</v>
      </c>
      <c r="I241" s="347">
        <f>I242</f>
        <v>0</v>
      </c>
      <c r="J241" s="347">
        <f t="shared" ref="J241:L241" si="38">J242</f>
        <v>0</v>
      </c>
      <c r="K241" s="347">
        <f t="shared" si="38"/>
        <v>0</v>
      </c>
      <c r="L241" s="347">
        <f t="shared" si="38"/>
        <v>0</v>
      </c>
    </row>
    <row r="242" spans="1:12" ht="27" customHeight="1">
      <c r="A242" s="360">
        <v>3</v>
      </c>
      <c r="B242" s="360">
        <v>2</v>
      </c>
      <c r="C242" s="361">
        <v>1</v>
      </c>
      <c r="D242" s="361">
        <v>1</v>
      </c>
      <c r="E242" s="361">
        <v>1</v>
      </c>
      <c r="F242" s="362"/>
      <c r="G242" s="329" t="s">
        <v>425</v>
      </c>
      <c r="H242" s="313">
        <v>209</v>
      </c>
      <c r="I242" s="330">
        <f>SUM(I243:I243)</f>
        <v>0</v>
      </c>
      <c r="J242" s="367">
        <f>SUM(J243:J243)</f>
        <v>0</v>
      </c>
      <c r="K242" s="331">
        <f>SUM(K243:K243)</f>
        <v>0</v>
      </c>
      <c r="L242" s="331">
        <f>SUM(L243:L243)</f>
        <v>0</v>
      </c>
    </row>
    <row r="243" spans="1:12" ht="25.5" customHeight="1">
      <c r="A243" s="381">
        <v>3</v>
      </c>
      <c r="B243" s="381">
        <v>2</v>
      </c>
      <c r="C243" s="399">
        <v>1</v>
      </c>
      <c r="D243" s="399">
        <v>1</v>
      </c>
      <c r="E243" s="399">
        <v>1</v>
      </c>
      <c r="F243" s="400">
        <v>1</v>
      </c>
      <c r="G243" s="356" t="s">
        <v>425</v>
      </c>
      <c r="H243" s="313">
        <v>210</v>
      </c>
      <c r="I243" s="335"/>
      <c r="J243" s="335"/>
      <c r="K243" s="335"/>
      <c r="L243" s="335"/>
    </row>
    <row r="244" spans="1:12" ht="25.5" customHeight="1">
      <c r="A244" s="381">
        <v>3</v>
      </c>
      <c r="B244" s="399">
        <v>2</v>
      </c>
      <c r="C244" s="399">
        <v>1</v>
      </c>
      <c r="D244" s="399">
        <v>1</v>
      </c>
      <c r="E244" s="399">
        <v>2</v>
      </c>
      <c r="F244" s="400"/>
      <c r="G244" s="356" t="s">
        <v>426</v>
      </c>
      <c r="H244" s="313">
        <v>211</v>
      </c>
      <c r="I244" s="330">
        <f>SUM(I245:I246)</f>
        <v>0</v>
      </c>
      <c r="J244" s="330">
        <f t="shared" ref="J244:L244" si="39">SUM(J245:J246)</f>
        <v>0</v>
      </c>
      <c r="K244" s="330">
        <f t="shared" si="39"/>
        <v>0</v>
      </c>
      <c r="L244" s="330">
        <f t="shared" si="39"/>
        <v>0</v>
      </c>
    </row>
    <row r="245" spans="1:12" ht="24.75" customHeight="1">
      <c r="A245" s="381">
        <v>3</v>
      </c>
      <c r="B245" s="399">
        <v>2</v>
      </c>
      <c r="C245" s="399">
        <v>1</v>
      </c>
      <c r="D245" s="399">
        <v>1</v>
      </c>
      <c r="E245" s="399">
        <v>2</v>
      </c>
      <c r="F245" s="400">
        <v>1</v>
      </c>
      <c r="G245" s="356" t="s">
        <v>427</v>
      </c>
      <c r="H245" s="313">
        <v>212</v>
      </c>
      <c r="I245" s="335"/>
      <c r="J245" s="335"/>
      <c r="K245" s="335"/>
      <c r="L245" s="335"/>
    </row>
    <row r="246" spans="1:12" ht="25.5" customHeight="1">
      <c r="A246" s="381">
        <v>3</v>
      </c>
      <c r="B246" s="399">
        <v>2</v>
      </c>
      <c r="C246" s="399">
        <v>1</v>
      </c>
      <c r="D246" s="399">
        <v>1</v>
      </c>
      <c r="E246" s="399">
        <v>2</v>
      </c>
      <c r="F246" s="400">
        <v>2</v>
      </c>
      <c r="G246" s="356" t="s">
        <v>428</v>
      </c>
      <c r="H246" s="313">
        <v>213</v>
      </c>
      <c r="I246" s="335"/>
      <c r="J246" s="335"/>
      <c r="K246" s="335"/>
      <c r="L246" s="335"/>
    </row>
    <row r="247" spans="1:12" ht="25.5" customHeight="1">
      <c r="A247" s="381">
        <v>3</v>
      </c>
      <c r="B247" s="399">
        <v>2</v>
      </c>
      <c r="C247" s="399">
        <v>1</v>
      </c>
      <c r="D247" s="399">
        <v>1</v>
      </c>
      <c r="E247" s="399">
        <v>3</v>
      </c>
      <c r="F247" s="418"/>
      <c r="G247" s="356" t="s">
        <v>429</v>
      </c>
      <c r="H247" s="313">
        <v>214</v>
      </c>
      <c r="I247" s="330">
        <f>SUM(I248:I249)</f>
        <v>0</v>
      </c>
      <c r="J247" s="330">
        <f t="shared" ref="J247:L247" si="40">SUM(J248:J249)</f>
        <v>0</v>
      </c>
      <c r="K247" s="330">
        <f t="shared" si="40"/>
        <v>0</v>
      </c>
      <c r="L247" s="330">
        <f t="shared" si="40"/>
        <v>0</v>
      </c>
    </row>
    <row r="248" spans="1:12" ht="29.25" customHeight="1">
      <c r="A248" s="381">
        <v>3</v>
      </c>
      <c r="B248" s="399">
        <v>2</v>
      </c>
      <c r="C248" s="399">
        <v>1</v>
      </c>
      <c r="D248" s="399">
        <v>1</v>
      </c>
      <c r="E248" s="399">
        <v>3</v>
      </c>
      <c r="F248" s="400">
        <v>1</v>
      </c>
      <c r="G248" s="356" t="s">
        <v>430</v>
      </c>
      <c r="H248" s="313">
        <v>215</v>
      </c>
      <c r="I248" s="335"/>
      <c r="J248" s="335"/>
      <c r="K248" s="335"/>
      <c r="L248" s="335"/>
    </row>
    <row r="249" spans="1:12" ht="25.5" customHeight="1">
      <c r="A249" s="381">
        <v>3</v>
      </c>
      <c r="B249" s="399">
        <v>2</v>
      </c>
      <c r="C249" s="399">
        <v>1</v>
      </c>
      <c r="D249" s="399">
        <v>1</v>
      </c>
      <c r="E249" s="399">
        <v>3</v>
      </c>
      <c r="F249" s="400">
        <v>2</v>
      </c>
      <c r="G249" s="356" t="s">
        <v>431</v>
      </c>
      <c r="H249" s="313">
        <v>216</v>
      </c>
      <c r="I249" s="335"/>
      <c r="J249" s="335"/>
      <c r="K249" s="335"/>
      <c r="L249" s="335"/>
    </row>
    <row r="250" spans="1:12" ht="27" customHeight="1">
      <c r="A250" s="325">
        <v>3</v>
      </c>
      <c r="B250" s="326">
        <v>2</v>
      </c>
      <c r="C250" s="326">
        <v>1</v>
      </c>
      <c r="D250" s="326">
        <v>2</v>
      </c>
      <c r="E250" s="326"/>
      <c r="F250" s="328"/>
      <c r="G250" s="329" t="s">
        <v>432</v>
      </c>
      <c r="H250" s="313">
        <v>217</v>
      </c>
      <c r="I250" s="330">
        <f>I251</f>
        <v>0</v>
      </c>
      <c r="J250" s="330">
        <f t="shared" ref="J250:L250" si="41">J251</f>
        <v>0</v>
      </c>
      <c r="K250" s="330">
        <f t="shared" si="41"/>
        <v>0</v>
      </c>
      <c r="L250" s="330">
        <f t="shared" si="41"/>
        <v>0</v>
      </c>
    </row>
    <row r="251" spans="1:12" ht="27.75" customHeight="1">
      <c r="A251" s="325">
        <v>3</v>
      </c>
      <c r="B251" s="326">
        <v>2</v>
      </c>
      <c r="C251" s="326">
        <v>1</v>
      </c>
      <c r="D251" s="326">
        <v>2</v>
      </c>
      <c r="E251" s="326">
        <v>1</v>
      </c>
      <c r="F251" s="328"/>
      <c r="G251" s="329" t="s">
        <v>432</v>
      </c>
      <c r="H251" s="313">
        <v>218</v>
      </c>
      <c r="I251" s="330">
        <f>SUM(I252:I253)</f>
        <v>0</v>
      </c>
      <c r="J251" s="367">
        <f>SUM(J252:J253)</f>
        <v>0</v>
      </c>
      <c r="K251" s="331">
        <f>SUM(K252:K253)</f>
        <v>0</v>
      </c>
      <c r="L251" s="331">
        <f>SUM(L252:L253)</f>
        <v>0</v>
      </c>
    </row>
    <row r="252" spans="1:12" ht="27" customHeight="1">
      <c r="A252" s="343">
        <v>3</v>
      </c>
      <c r="B252" s="353">
        <v>2</v>
      </c>
      <c r="C252" s="354">
        <v>1</v>
      </c>
      <c r="D252" s="354">
        <v>2</v>
      </c>
      <c r="E252" s="354">
        <v>1</v>
      </c>
      <c r="F252" s="355">
        <v>1</v>
      </c>
      <c r="G252" s="356" t="s">
        <v>433</v>
      </c>
      <c r="H252" s="313">
        <v>219</v>
      </c>
      <c r="I252" s="335"/>
      <c r="J252" s="335"/>
      <c r="K252" s="335"/>
      <c r="L252" s="335"/>
    </row>
    <row r="253" spans="1:12" ht="25.5" customHeight="1">
      <c r="A253" s="325">
        <v>3</v>
      </c>
      <c r="B253" s="326">
        <v>2</v>
      </c>
      <c r="C253" s="326">
        <v>1</v>
      </c>
      <c r="D253" s="326">
        <v>2</v>
      </c>
      <c r="E253" s="326">
        <v>1</v>
      </c>
      <c r="F253" s="328">
        <v>2</v>
      </c>
      <c r="G253" s="329" t="s">
        <v>434</v>
      </c>
      <c r="H253" s="313">
        <v>220</v>
      </c>
      <c r="I253" s="335"/>
      <c r="J253" s="335"/>
      <c r="K253" s="335"/>
      <c r="L253" s="335"/>
    </row>
    <row r="254" spans="1:12" ht="26.25" customHeight="1">
      <c r="A254" s="320">
        <v>3</v>
      </c>
      <c r="B254" s="318">
        <v>2</v>
      </c>
      <c r="C254" s="318">
        <v>1</v>
      </c>
      <c r="D254" s="318">
        <v>3</v>
      </c>
      <c r="E254" s="318"/>
      <c r="F254" s="321"/>
      <c r="G254" s="340" t="s">
        <v>435</v>
      </c>
      <c r="H254" s="313">
        <v>221</v>
      </c>
      <c r="I254" s="366">
        <f>I255</f>
        <v>0</v>
      </c>
      <c r="J254" s="369">
        <f>J255</f>
        <v>0</v>
      </c>
      <c r="K254" s="370">
        <f>K255</f>
        <v>0</v>
      </c>
      <c r="L254" s="370">
        <f>L255</f>
        <v>0</v>
      </c>
    </row>
    <row r="255" spans="1:12" ht="29.25" customHeight="1">
      <c r="A255" s="325">
        <v>3</v>
      </c>
      <c r="B255" s="326">
        <v>2</v>
      </c>
      <c r="C255" s="326">
        <v>1</v>
      </c>
      <c r="D255" s="326">
        <v>3</v>
      </c>
      <c r="E255" s="326">
        <v>1</v>
      </c>
      <c r="F255" s="328"/>
      <c r="G255" s="340" t="s">
        <v>435</v>
      </c>
      <c r="H255" s="313">
        <v>222</v>
      </c>
      <c r="I255" s="330">
        <f>I256+I257</f>
        <v>0</v>
      </c>
      <c r="J255" s="330">
        <f>J256+J257</f>
        <v>0</v>
      </c>
      <c r="K255" s="330">
        <f>K256+K257</f>
        <v>0</v>
      </c>
      <c r="L255" s="330">
        <f>L256+L257</f>
        <v>0</v>
      </c>
    </row>
    <row r="256" spans="1:12" ht="30" customHeight="1">
      <c r="A256" s="325">
        <v>3</v>
      </c>
      <c r="B256" s="326">
        <v>2</v>
      </c>
      <c r="C256" s="326">
        <v>1</v>
      </c>
      <c r="D256" s="326">
        <v>3</v>
      </c>
      <c r="E256" s="326">
        <v>1</v>
      </c>
      <c r="F256" s="328">
        <v>1</v>
      </c>
      <c r="G256" s="329" t="s">
        <v>436</v>
      </c>
      <c r="H256" s="313">
        <v>223</v>
      </c>
      <c r="I256" s="335"/>
      <c r="J256" s="335"/>
      <c r="K256" s="335"/>
      <c r="L256" s="335"/>
    </row>
    <row r="257" spans="1:12" ht="27.75" customHeight="1">
      <c r="A257" s="325">
        <v>3</v>
      </c>
      <c r="B257" s="326">
        <v>2</v>
      </c>
      <c r="C257" s="326">
        <v>1</v>
      </c>
      <c r="D257" s="326">
        <v>3</v>
      </c>
      <c r="E257" s="326">
        <v>1</v>
      </c>
      <c r="F257" s="328">
        <v>2</v>
      </c>
      <c r="G257" s="329" t="s">
        <v>437</v>
      </c>
      <c r="H257" s="313">
        <v>224</v>
      </c>
      <c r="I257" s="404"/>
      <c r="J257" s="397"/>
      <c r="K257" s="404"/>
      <c r="L257" s="404"/>
    </row>
    <row r="258" spans="1:12" ht="26.25" customHeight="1">
      <c r="A258" s="325">
        <v>3</v>
      </c>
      <c r="B258" s="326">
        <v>2</v>
      </c>
      <c r="C258" s="326">
        <v>1</v>
      </c>
      <c r="D258" s="326">
        <v>4</v>
      </c>
      <c r="E258" s="326"/>
      <c r="F258" s="328"/>
      <c r="G258" s="329" t="s">
        <v>438</v>
      </c>
      <c r="H258" s="313">
        <v>225</v>
      </c>
      <c r="I258" s="330">
        <f>I259</f>
        <v>0</v>
      </c>
      <c r="J258" s="331">
        <f>J259</f>
        <v>0</v>
      </c>
      <c r="K258" s="330">
        <f>K259</f>
        <v>0</v>
      </c>
      <c r="L258" s="331">
        <f>L259</f>
        <v>0</v>
      </c>
    </row>
    <row r="259" spans="1:12" ht="27.75" customHeight="1">
      <c r="A259" s="320">
        <v>3</v>
      </c>
      <c r="B259" s="318">
        <v>2</v>
      </c>
      <c r="C259" s="318">
        <v>1</v>
      </c>
      <c r="D259" s="318">
        <v>4</v>
      </c>
      <c r="E259" s="318">
        <v>1</v>
      </c>
      <c r="F259" s="321"/>
      <c r="G259" s="340" t="s">
        <v>438</v>
      </c>
      <c r="H259" s="313">
        <v>226</v>
      </c>
      <c r="I259" s="366">
        <f>SUM(I260:I261)</f>
        <v>0</v>
      </c>
      <c r="J259" s="369">
        <f>SUM(J260:J261)</f>
        <v>0</v>
      </c>
      <c r="K259" s="370">
        <f>SUM(K260:K261)</f>
        <v>0</v>
      </c>
      <c r="L259" s="370">
        <f>SUM(L260:L261)</f>
        <v>0</v>
      </c>
    </row>
    <row r="260" spans="1:12" ht="25.5" customHeight="1">
      <c r="A260" s="325">
        <v>3</v>
      </c>
      <c r="B260" s="326">
        <v>2</v>
      </c>
      <c r="C260" s="326">
        <v>1</v>
      </c>
      <c r="D260" s="326">
        <v>4</v>
      </c>
      <c r="E260" s="326">
        <v>1</v>
      </c>
      <c r="F260" s="328">
        <v>1</v>
      </c>
      <c r="G260" s="329" t="s">
        <v>439</v>
      </c>
      <c r="H260" s="313">
        <v>227</v>
      </c>
      <c r="I260" s="335"/>
      <c r="J260" s="335"/>
      <c r="K260" s="335"/>
      <c r="L260" s="335"/>
    </row>
    <row r="261" spans="1:12" ht="27.75" customHeight="1">
      <c r="A261" s="325">
        <v>3</v>
      </c>
      <c r="B261" s="326">
        <v>2</v>
      </c>
      <c r="C261" s="326">
        <v>1</v>
      </c>
      <c r="D261" s="326">
        <v>4</v>
      </c>
      <c r="E261" s="326">
        <v>1</v>
      </c>
      <c r="F261" s="328">
        <v>2</v>
      </c>
      <c r="G261" s="329" t="s">
        <v>440</v>
      </c>
      <c r="H261" s="313">
        <v>228</v>
      </c>
      <c r="I261" s="335"/>
      <c r="J261" s="335"/>
      <c r="K261" s="335"/>
      <c r="L261" s="335"/>
    </row>
    <row r="262" spans="1:12">
      <c r="A262" s="325">
        <v>3</v>
      </c>
      <c r="B262" s="326">
        <v>2</v>
      </c>
      <c r="C262" s="326">
        <v>1</v>
      </c>
      <c r="D262" s="326">
        <v>5</v>
      </c>
      <c r="E262" s="326"/>
      <c r="F262" s="328"/>
      <c r="G262" s="329" t="s">
        <v>441</v>
      </c>
      <c r="H262" s="313">
        <v>229</v>
      </c>
      <c r="I262" s="330">
        <f>I263</f>
        <v>0</v>
      </c>
      <c r="J262" s="367">
        <f t="shared" ref="J262:L263" si="42">J263</f>
        <v>0</v>
      </c>
      <c r="K262" s="331">
        <f t="shared" si="42"/>
        <v>0</v>
      </c>
      <c r="L262" s="331">
        <f t="shared" si="42"/>
        <v>0</v>
      </c>
    </row>
    <row r="263" spans="1:12" ht="29.25" customHeight="1">
      <c r="A263" s="325">
        <v>3</v>
      </c>
      <c r="B263" s="326">
        <v>2</v>
      </c>
      <c r="C263" s="326">
        <v>1</v>
      </c>
      <c r="D263" s="326">
        <v>5</v>
      </c>
      <c r="E263" s="326">
        <v>1</v>
      </c>
      <c r="F263" s="328"/>
      <c r="G263" s="329" t="s">
        <v>441</v>
      </c>
      <c r="H263" s="313">
        <v>230</v>
      </c>
      <c r="I263" s="331">
        <f>I264</f>
        <v>0</v>
      </c>
      <c r="J263" s="367">
        <f t="shared" si="42"/>
        <v>0</v>
      </c>
      <c r="K263" s="331">
        <f t="shared" si="42"/>
        <v>0</v>
      </c>
      <c r="L263" s="331">
        <f t="shared" si="42"/>
        <v>0</v>
      </c>
    </row>
    <row r="264" spans="1:12">
      <c r="A264" s="353">
        <v>3</v>
      </c>
      <c r="B264" s="354">
        <v>2</v>
      </c>
      <c r="C264" s="354">
        <v>1</v>
      </c>
      <c r="D264" s="354">
        <v>5</v>
      </c>
      <c r="E264" s="354">
        <v>1</v>
      </c>
      <c r="F264" s="355">
        <v>1</v>
      </c>
      <c r="G264" s="329" t="s">
        <v>441</v>
      </c>
      <c r="H264" s="313">
        <v>231</v>
      </c>
      <c r="I264" s="404"/>
      <c r="J264" s="404"/>
      <c r="K264" s="404"/>
      <c r="L264" s="404"/>
    </row>
    <row r="265" spans="1:12">
      <c r="A265" s="325">
        <v>3</v>
      </c>
      <c r="B265" s="326">
        <v>2</v>
      </c>
      <c r="C265" s="326">
        <v>1</v>
      </c>
      <c r="D265" s="326">
        <v>6</v>
      </c>
      <c r="E265" s="326"/>
      <c r="F265" s="328"/>
      <c r="G265" s="329" t="s">
        <v>442</v>
      </c>
      <c r="H265" s="313">
        <v>232</v>
      </c>
      <c r="I265" s="330">
        <f>I266</f>
        <v>0</v>
      </c>
      <c r="J265" s="367">
        <f t="shared" ref="J265:L266" si="43">J266</f>
        <v>0</v>
      </c>
      <c r="K265" s="331">
        <f t="shared" si="43"/>
        <v>0</v>
      </c>
      <c r="L265" s="331">
        <f t="shared" si="43"/>
        <v>0</v>
      </c>
    </row>
    <row r="266" spans="1:12">
      <c r="A266" s="325">
        <v>3</v>
      </c>
      <c r="B266" s="325">
        <v>2</v>
      </c>
      <c r="C266" s="326">
        <v>1</v>
      </c>
      <c r="D266" s="326">
        <v>6</v>
      </c>
      <c r="E266" s="326">
        <v>1</v>
      </c>
      <c r="F266" s="328"/>
      <c r="G266" s="329" t="s">
        <v>442</v>
      </c>
      <c r="H266" s="313">
        <v>233</v>
      </c>
      <c r="I266" s="330">
        <f>I267</f>
        <v>0</v>
      </c>
      <c r="J266" s="367">
        <f t="shared" si="43"/>
        <v>0</v>
      </c>
      <c r="K266" s="331">
        <f t="shared" si="43"/>
        <v>0</v>
      </c>
      <c r="L266" s="331">
        <f t="shared" si="43"/>
        <v>0</v>
      </c>
    </row>
    <row r="267" spans="1:12" ht="24" customHeight="1">
      <c r="A267" s="320">
        <v>3</v>
      </c>
      <c r="B267" s="320">
        <v>2</v>
      </c>
      <c r="C267" s="326">
        <v>1</v>
      </c>
      <c r="D267" s="326">
        <v>6</v>
      </c>
      <c r="E267" s="326">
        <v>1</v>
      </c>
      <c r="F267" s="328">
        <v>1</v>
      </c>
      <c r="G267" s="329" t="s">
        <v>442</v>
      </c>
      <c r="H267" s="313">
        <v>234</v>
      </c>
      <c r="I267" s="404"/>
      <c r="J267" s="404"/>
      <c r="K267" s="404"/>
      <c r="L267" s="404"/>
    </row>
    <row r="268" spans="1:12" ht="27.75" customHeight="1">
      <c r="A268" s="325">
        <v>3</v>
      </c>
      <c r="B268" s="325">
        <v>2</v>
      </c>
      <c r="C268" s="326">
        <v>1</v>
      </c>
      <c r="D268" s="326">
        <v>7</v>
      </c>
      <c r="E268" s="326"/>
      <c r="F268" s="328"/>
      <c r="G268" s="329" t="s">
        <v>443</v>
      </c>
      <c r="H268" s="313">
        <v>235</v>
      </c>
      <c r="I268" s="330">
        <f>I269</f>
        <v>0</v>
      </c>
      <c r="J268" s="367">
        <f>J269</f>
        <v>0</v>
      </c>
      <c r="K268" s="331">
        <f>K269</f>
        <v>0</v>
      </c>
      <c r="L268" s="331">
        <f>L269</f>
        <v>0</v>
      </c>
    </row>
    <row r="269" spans="1:12">
      <c r="A269" s="325">
        <v>3</v>
      </c>
      <c r="B269" s="326">
        <v>2</v>
      </c>
      <c r="C269" s="326">
        <v>1</v>
      </c>
      <c r="D269" s="326">
        <v>7</v>
      </c>
      <c r="E269" s="326">
        <v>1</v>
      </c>
      <c r="F269" s="328"/>
      <c r="G269" s="329" t="s">
        <v>443</v>
      </c>
      <c r="H269" s="313">
        <v>236</v>
      </c>
      <c r="I269" s="330">
        <f>I270+I271</f>
        <v>0</v>
      </c>
      <c r="J269" s="330">
        <f>J270+J271</f>
        <v>0</v>
      </c>
      <c r="K269" s="330">
        <f>K270+K271</f>
        <v>0</v>
      </c>
      <c r="L269" s="330">
        <f>L270+L271</f>
        <v>0</v>
      </c>
    </row>
    <row r="270" spans="1:12" ht="27" customHeight="1">
      <c r="A270" s="325">
        <v>3</v>
      </c>
      <c r="B270" s="326">
        <v>2</v>
      </c>
      <c r="C270" s="326">
        <v>1</v>
      </c>
      <c r="D270" s="326">
        <v>7</v>
      </c>
      <c r="E270" s="326">
        <v>1</v>
      </c>
      <c r="F270" s="328">
        <v>1</v>
      </c>
      <c r="G270" s="329" t="s">
        <v>444</v>
      </c>
      <c r="H270" s="313">
        <v>237</v>
      </c>
      <c r="I270" s="334"/>
      <c r="J270" s="335"/>
      <c r="K270" s="335"/>
      <c r="L270" s="335"/>
    </row>
    <row r="271" spans="1:12" ht="24.75" customHeight="1">
      <c r="A271" s="325">
        <v>3</v>
      </c>
      <c r="B271" s="326">
        <v>2</v>
      </c>
      <c r="C271" s="326">
        <v>1</v>
      </c>
      <c r="D271" s="326">
        <v>7</v>
      </c>
      <c r="E271" s="326">
        <v>1</v>
      </c>
      <c r="F271" s="328">
        <v>2</v>
      </c>
      <c r="G271" s="329" t="s">
        <v>445</v>
      </c>
      <c r="H271" s="313">
        <v>238</v>
      </c>
      <c r="I271" s="335"/>
      <c r="J271" s="335"/>
      <c r="K271" s="335"/>
      <c r="L271" s="335"/>
    </row>
    <row r="272" spans="1:12" ht="38.25" customHeight="1">
      <c r="A272" s="360">
        <v>3</v>
      </c>
      <c r="B272" s="361">
        <v>2</v>
      </c>
      <c r="C272" s="361">
        <v>2</v>
      </c>
      <c r="D272" s="419"/>
      <c r="E272" s="419"/>
      <c r="F272" s="420"/>
      <c r="G272" s="329" t="s">
        <v>446</v>
      </c>
      <c r="H272" s="313">
        <v>239</v>
      </c>
      <c r="I272" s="330">
        <f>SUM(I273+I282+I286+I290+I294+I297+I300)</f>
        <v>0</v>
      </c>
      <c r="J272" s="367">
        <f>SUM(J273+J282+J286+J290+J294+J297+J300)</f>
        <v>0</v>
      </c>
      <c r="K272" s="331">
        <f>SUM(K273+K282+K286+K290+K294+K297+K300)</f>
        <v>0</v>
      </c>
      <c r="L272" s="331">
        <f>SUM(L273+L282+L286+L290+L294+L297+L300)</f>
        <v>0</v>
      </c>
    </row>
    <row r="273" spans="1:12">
      <c r="A273" s="325">
        <v>3</v>
      </c>
      <c r="B273" s="326">
        <v>2</v>
      </c>
      <c r="C273" s="326">
        <v>2</v>
      </c>
      <c r="D273" s="326">
        <v>1</v>
      </c>
      <c r="E273" s="326"/>
      <c r="F273" s="328"/>
      <c r="G273" s="329" t="s">
        <v>447</v>
      </c>
      <c r="H273" s="313">
        <v>240</v>
      </c>
      <c r="I273" s="330">
        <f>I274</f>
        <v>0</v>
      </c>
      <c r="J273" s="330">
        <f>J274</f>
        <v>0</v>
      </c>
      <c r="K273" s="330">
        <f>K274</f>
        <v>0</v>
      </c>
      <c r="L273" s="330">
        <f>L274</f>
        <v>0</v>
      </c>
    </row>
    <row r="274" spans="1:12">
      <c r="A274" s="332">
        <v>3</v>
      </c>
      <c r="B274" s="325">
        <v>2</v>
      </c>
      <c r="C274" s="326">
        <v>2</v>
      </c>
      <c r="D274" s="326">
        <v>1</v>
      </c>
      <c r="E274" s="326">
        <v>1</v>
      </c>
      <c r="F274" s="328"/>
      <c r="G274" s="329" t="s">
        <v>425</v>
      </c>
      <c r="H274" s="313">
        <v>241</v>
      </c>
      <c r="I274" s="330">
        <f>SUM(I275)</f>
        <v>0</v>
      </c>
      <c r="J274" s="330">
        <f t="shared" ref="J274:L274" si="44">SUM(J275)</f>
        <v>0</v>
      </c>
      <c r="K274" s="330">
        <f t="shared" si="44"/>
        <v>0</v>
      </c>
      <c r="L274" s="330">
        <f t="shared" si="44"/>
        <v>0</v>
      </c>
    </row>
    <row r="275" spans="1:12">
      <c r="A275" s="332">
        <v>3</v>
      </c>
      <c r="B275" s="325">
        <v>2</v>
      </c>
      <c r="C275" s="326">
        <v>2</v>
      </c>
      <c r="D275" s="326">
        <v>1</v>
      </c>
      <c r="E275" s="326">
        <v>1</v>
      </c>
      <c r="F275" s="328">
        <v>1</v>
      </c>
      <c r="G275" s="329" t="s">
        <v>425</v>
      </c>
      <c r="H275" s="313">
        <v>242</v>
      </c>
      <c r="I275" s="335"/>
      <c r="J275" s="335"/>
      <c r="K275" s="335"/>
      <c r="L275" s="335"/>
    </row>
    <row r="276" spans="1:12" ht="24" customHeight="1">
      <c r="A276" s="359">
        <v>3</v>
      </c>
      <c r="B276" s="360">
        <v>2</v>
      </c>
      <c r="C276" s="361">
        <v>2</v>
      </c>
      <c r="D276" s="361">
        <v>1</v>
      </c>
      <c r="E276" s="361">
        <v>2</v>
      </c>
      <c r="F276" s="362"/>
      <c r="G276" s="329" t="s">
        <v>448</v>
      </c>
      <c r="H276" s="313">
        <v>243</v>
      </c>
      <c r="I276" s="330">
        <f>SUM(I277:I278)</f>
        <v>0</v>
      </c>
      <c r="J276" s="330">
        <f t="shared" ref="J276:K276" si="45">SUM(J277:J278)</f>
        <v>0</v>
      </c>
      <c r="K276" s="330">
        <f t="shared" si="45"/>
        <v>0</v>
      </c>
      <c r="L276" s="330">
        <f>SUM(L277:L278)</f>
        <v>0</v>
      </c>
    </row>
    <row r="277" spans="1:12" ht="24" customHeight="1">
      <c r="A277" s="359">
        <v>3</v>
      </c>
      <c r="B277" s="360">
        <v>2</v>
      </c>
      <c r="C277" s="361">
        <v>2</v>
      </c>
      <c r="D277" s="361">
        <v>1</v>
      </c>
      <c r="E277" s="361">
        <v>2</v>
      </c>
      <c r="F277" s="362">
        <v>1</v>
      </c>
      <c r="G277" s="329" t="s">
        <v>427</v>
      </c>
      <c r="H277" s="313">
        <v>244</v>
      </c>
      <c r="I277" s="335"/>
      <c r="J277" s="334"/>
      <c r="K277" s="335"/>
      <c r="L277" s="335"/>
    </row>
    <row r="278" spans="1:12" ht="32.25" customHeight="1">
      <c r="A278" s="359">
        <v>3</v>
      </c>
      <c r="B278" s="360">
        <v>2</v>
      </c>
      <c r="C278" s="361">
        <v>2</v>
      </c>
      <c r="D278" s="361">
        <v>1</v>
      </c>
      <c r="E278" s="361">
        <v>2</v>
      </c>
      <c r="F278" s="362">
        <v>2</v>
      </c>
      <c r="G278" s="329" t="s">
        <v>428</v>
      </c>
      <c r="H278" s="313">
        <v>245</v>
      </c>
      <c r="I278" s="335"/>
      <c r="J278" s="334"/>
      <c r="K278" s="335"/>
      <c r="L278" s="335"/>
    </row>
    <row r="279" spans="1:12" ht="27" customHeight="1">
      <c r="A279" s="359">
        <v>3</v>
      </c>
      <c r="B279" s="360">
        <v>2</v>
      </c>
      <c r="C279" s="361">
        <v>2</v>
      </c>
      <c r="D279" s="361">
        <v>1</v>
      </c>
      <c r="E279" s="361">
        <v>3</v>
      </c>
      <c r="F279" s="362"/>
      <c r="G279" s="329" t="s">
        <v>429</v>
      </c>
      <c r="H279" s="313">
        <v>246</v>
      </c>
      <c r="I279" s="330">
        <f>SUM(I280:I281)</f>
        <v>0</v>
      </c>
      <c r="J279" s="330">
        <f t="shared" ref="J279:K279" si="46">SUM(J280:J281)</f>
        <v>0</v>
      </c>
      <c r="K279" s="330">
        <f t="shared" si="46"/>
        <v>0</v>
      </c>
      <c r="L279" s="330">
        <f>SUM(L280:L281)</f>
        <v>0</v>
      </c>
    </row>
    <row r="280" spans="1:12" ht="27.75" customHeight="1">
      <c r="A280" s="359">
        <v>3</v>
      </c>
      <c r="B280" s="360">
        <v>2</v>
      </c>
      <c r="C280" s="361">
        <v>2</v>
      </c>
      <c r="D280" s="361">
        <v>1</v>
      </c>
      <c r="E280" s="361">
        <v>3</v>
      </c>
      <c r="F280" s="362">
        <v>1</v>
      </c>
      <c r="G280" s="329" t="s">
        <v>430</v>
      </c>
      <c r="H280" s="313">
        <v>247</v>
      </c>
      <c r="I280" s="335"/>
      <c r="J280" s="334"/>
      <c r="K280" s="335"/>
      <c r="L280" s="335"/>
    </row>
    <row r="281" spans="1:12" ht="27" customHeight="1">
      <c r="A281" s="359">
        <v>3</v>
      </c>
      <c r="B281" s="360">
        <v>2</v>
      </c>
      <c r="C281" s="361">
        <v>2</v>
      </c>
      <c r="D281" s="361">
        <v>1</v>
      </c>
      <c r="E281" s="361">
        <v>3</v>
      </c>
      <c r="F281" s="362">
        <v>2</v>
      </c>
      <c r="G281" s="329" t="s">
        <v>449</v>
      </c>
      <c r="H281" s="313">
        <v>248</v>
      </c>
      <c r="I281" s="335"/>
      <c r="J281" s="334"/>
      <c r="K281" s="335"/>
      <c r="L281" s="335"/>
    </row>
    <row r="282" spans="1:12">
      <c r="A282" s="332">
        <v>3</v>
      </c>
      <c r="B282" s="325">
        <v>2</v>
      </c>
      <c r="C282" s="326">
        <v>2</v>
      </c>
      <c r="D282" s="326">
        <v>2</v>
      </c>
      <c r="E282" s="326"/>
      <c r="F282" s="328"/>
      <c r="G282" s="329" t="s">
        <v>450</v>
      </c>
      <c r="H282" s="313">
        <v>249</v>
      </c>
      <c r="I282" s="330">
        <f>I283</f>
        <v>0</v>
      </c>
      <c r="J282" s="331">
        <f>J283</f>
        <v>0</v>
      </c>
      <c r="K282" s="330">
        <f>K283</f>
        <v>0</v>
      </c>
      <c r="L282" s="331">
        <f>L283</f>
        <v>0</v>
      </c>
    </row>
    <row r="283" spans="1:12" ht="32.25" customHeight="1">
      <c r="A283" s="325">
        <v>3</v>
      </c>
      <c r="B283" s="326">
        <v>2</v>
      </c>
      <c r="C283" s="318">
        <v>2</v>
      </c>
      <c r="D283" s="318">
        <v>2</v>
      </c>
      <c r="E283" s="318">
        <v>1</v>
      </c>
      <c r="F283" s="321"/>
      <c r="G283" s="329" t="s">
        <v>450</v>
      </c>
      <c r="H283" s="313">
        <v>250</v>
      </c>
      <c r="I283" s="366">
        <f>SUM(I284:I285)</f>
        <v>0</v>
      </c>
      <c r="J283" s="369">
        <f>SUM(J284:J285)</f>
        <v>0</v>
      </c>
      <c r="K283" s="370">
        <f>SUM(K284:K285)</f>
        <v>0</v>
      </c>
      <c r="L283" s="370">
        <f>SUM(L284:L285)</f>
        <v>0</v>
      </c>
    </row>
    <row r="284" spans="1:12" ht="26.25">
      <c r="A284" s="325">
        <v>3</v>
      </c>
      <c r="B284" s="326">
        <v>2</v>
      </c>
      <c r="C284" s="326">
        <v>2</v>
      </c>
      <c r="D284" s="326">
        <v>2</v>
      </c>
      <c r="E284" s="326">
        <v>1</v>
      </c>
      <c r="F284" s="328">
        <v>1</v>
      </c>
      <c r="G284" s="329" t="s">
        <v>451</v>
      </c>
      <c r="H284" s="313">
        <v>251</v>
      </c>
      <c r="I284" s="335"/>
      <c r="J284" s="335"/>
      <c r="K284" s="335"/>
      <c r="L284" s="335"/>
    </row>
    <row r="285" spans="1:12" ht="26.25">
      <c r="A285" s="325">
        <v>3</v>
      </c>
      <c r="B285" s="326">
        <v>2</v>
      </c>
      <c r="C285" s="326">
        <v>2</v>
      </c>
      <c r="D285" s="326">
        <v>2</v>
      </c>
      <c r="E285" s="326">
        <v>1</v>
      </c>
      <c r="F285" s="328">
        <v>2</v>
      </c>
      <c r="G285" s="359" t="s">
        <v>452</v>
      </c>
      <c r="H285" s="313">
        <v>252</v>
      </c>
      <c r="I285" s="335"/>
      <c r="J285" s="335"/>
      <c r="K285" s="335"/>
      <c r="L285" s="335"/>
    </row>
    <row r="286" spans="1:12" ht="26.25">
      <c r="A286" s="325">
        <v>3</v>
      </c>
      <c r="B286" s="326">
        <v>2</v>
      </c>
      <c r="C286" s="326">
        <v>2</v>
      </c>
      <c r="D286" s="326">
        <v>3</v>
      </c>
      <c r="E286" s="326"/>
      <c r="F286" s="328"/>
      <c r="G286" s="329" t="s">
        <v>453</v>
      </c>
      <c r="H286" s="313">
        <v>253</v>
      </c>
      <c r="I286" s="330">
        <f>I287</f>
        <v>0</v>
      </c>
      <c r="J286" s="367">
        <f>J287</f>
        <v>0</v>
      </c>
      <c r="K286" s="331">
        <f>K287</f>
        <v>0</v>
      </c>
      <c r="L286" s="331">
        <f>L287</f>
        <v>0</v>
      </c>
    </row>
    <row r="287" spans="1:12" ht="30" customHeight="1">
      <c r="A287" s="320">
        <v>3</v>
      </c>
      <c r="B287" s="326">
        <v>2</v>
      </c>
      <c r="C287" s="326">
        <v>2</v>
      </c>
      <c r="D287" s="326">
        <v>3</v>
      </c>
      <c r="E287" s="326">
        <v>1</v>
      </c>
      <c r="F287" s="328"/>
      <c r="G287" s="329" t="s">
        <v>453</v>
      </c>
      <c r="H287" s="313">
        <v>254</v>
      </c>
      <c r="I287" s="330">
        <f>I288+I289</f>
        <v>0</v>
      </c>
      <c r="J287" s="330">
        <f>J288+J289</f>
        <v>0</v>
      </c>
      <c r="K287" s="330">
        <f>K288+K289</f>
        <v>0</v>
      </c>
      <c r="L287" s="330">
        <f>L288+L289</f>
        <v>0</v>
      </c>
    </row>
    <row r="288" spans="1:12" ht="31.5" customHeight="1">
      <c r="A288" s="320">
        <v>3</v>
      </c>
      <c r="B288" s="326">
        <v>2</v>
      </c>
      <c r="C288" s="326">
        <v>2</v>
      </c>
      <c r="D288" s="326">
        <v>3</v>
      </c>
      <c r="E288" s="326">
        <v>1</v>
      </c>
      <c r="F288" s="328">
        <v>1</v>
      </c>
      <c r="G288" s="329" t="s">
        <v>454</v>
      </c>
      <c r="H288" s="313">
        <v>255</v>
      </c>
      <c r="I288" s="335"/>
      <c r="J288" s="335"/>
      <c r="K288" s="335"/>
      <c r="L288" s="335"/>
    </row>
    <row r="289" spans="1:12" ht="25.5" customHeight="1">
      <c r="A289" s="320">
        <v>3</v>
      </c>
      <c r="B289" s="326">
        <v>2</v>
      </c>
      <c r="C289" s="326">
        <v>2</v>
      </c>
      <c r="D289" s="326">
        <v>3</v>
      </c>
      <c r="E289" s="326">
        <v>1</v>
      </c>
      <c r="F289" s="328">
        <v>2</v>
      </c>
      <c r="G289" s="329" t="s">
        <v>455</v>
      </c>
      <c r="H289" s="313">
        <v>256</v>
      </c>
      <c r="I289" s="335"/>
      <c r="J289" s="335"/>
      <c r="K289" s="335"/>
      <c r="L289" s="335"/>
    </row>
    <row r="290" spans="1:12" ht="27" customHeight="1">
      <c r="A290" s="325">
        <v>3</v>
      </c>
      <c r="B290" s="326">
        <v>2</v>
      </c>
      <c r="C290" s="326">
        <v>2</v>
      </c>
      <c r="D290" s="326">
        <v>4</v>
      </c>
      <c r="E290" s="326"/>
      <c r="F290" s="328"/>
      <c r="G290" s="329" t="s">
        <v>456</v>
      </c>
      <c r="H290" s="313">
        <v>257</v>
      </c>
      <c r="I290" s="330">
        <f>I291</f>
        <v>0</v>
      </c>
      <c r="J290" s="367">
        <f>J291</f>
        <v>0</v>
      </c>
      <c r="K290" s="331">
        <f>K291</f>
        <v>0</v>
      </c>
      <c r="L290" s="331">
        <f>L291</f>
        <v>0</v>
      </c>
    </row>
    <row r="291" spans="1:12">
      <c r="A291" s="325">
        <v>3</v>
      </c>
      <c r="B291" s="326">
        <v>2</v>
      </c>
      <c r="C291" s="326">
        <v>2</v>
      </c>
      <c r="D291" s="326">
        <v>4</v>
      </c>
      <c r="E291" s="326">
        <v>1</v>
      </c>
      <c r="F291" s="328"/>
      <c r="G291" s="329" t="s">
        <v>456</v>
      </c>
      <c r="H291" s="313">
        <v>258</v>
      </c>
      <c r="I291" s="330">
        <f>SUM(I292:I293)</f>
        <v>0</v>
      </c>
      <c r="J291" s="367">
        <f>SUM(J292:J293)</f>
        <v>0</v>
      </c>
      <c r="K291" s="331">
        <f>SUM(K292:K293)</f>
        <v>0</v>
      </c>
      <c r="L291" s="331">
        <f>SUM(L292:L293)</f>
        <v>0</v>
      </c>
    </row>
    <row r="292" spans="1:12" ht="30.75" customHeight="1">
      <c r="A292" s="325">
        <v>3</v>
      </c>
      <c r="B292" s="326">
        <v>2</v>
      </c>
      <c r="C292" s="326">
        <v>2</v>
      </c>
      <c r="D292" s="326">
        <v>4</v>
      </c>
      <c r="E292" s="326">
        <v>1</v>
      </c>
      <c r="F292" s="328">
        <v>1</v>
      </c>
      <c r="G292" s="329" t="s">
        <v>457</v>
      </c>
      <c r="H292" s="313">
        <v>259</v>
      </c>
      <c r="I292" s="335"/>
      <c r="J292" s="335"/>
      <c r="K292" s="335"/>
      <c r="L292" s="335"/>
    </row>
    <row r="293" spans="1:12" ht="27.75" customHeight="1">
      <c r="A293" s="320">
        <v>3</v>
      </c>
      <c r="B293" s="318">
        <v>2</v>
      </c>
      <c r="C293" s="318">
        <v>2</v>
      </c>
      <c r="D293" s="318">
        <v>4</v>
      </c>
      <c r="E293" s="318">
        <v>1</v>
      </c>
      <c r="F293" s="321">
        <v>2</v>
      </c>
      <c r="G293" s="359" t="s">
        <v>458</v>
      </c>
      <c r="H293" s="313">
        <v>260</v>
      </c>
      <c r="I293" s="335"/>
      <c r="J293" s="335"/>
      <c r="K293" s="335"/>
      <c r="L293" s="335"/>
    </row>
    <row r="294" spans="1:12" ht="28.5" customHeight="1">
      <c r="A294" s="325">
        <v>3</v>
      </c>
      <c r="B294" s="326">
        <v>2</v>
      </c>
      <c r="C294" s="326">
        <v>2</v>
      </c>
      <c r="D294" s="326">
        <v>5</v>
      </c>
      <c r="E294" s="326"/>
      <c r="F294" s="328"/>
      <c r="G294" s="329" t="s">
        <v>459</v>
      </c>
      <c r="H294" s="313">
        <v>261</v>
      </c>
      <c r="I294" s="330">
        <f>I295</f>
        <v>0</v>
      </c>
      <c r="J294" s="367">
        <f t="shared" ref="J294:L295" si="47">J295</f>
        <v>0</v>
      </c>
      <c r="K294" s="331">
        <f t="shared" si="47"/>
        <v>0</v>
      </c>
      <c r="L294" s="331">
        <f t="shared" si="47"/>
        <v>0</v>
      </c>
    </row>
    <row r="295" spans="1:12" ht="26.25" customHeight="1">
      <c r="A295" s="325">
        <v>3</v>
      </c>
      <c r="B295" s="326">
        <v>2</v>
      </c>
      <c r="C295" s="326">
        <v>2</v>
      </c>
      <c r="D295" s="326">
        <v>5</v>
      </c>
      <c r="E295" s="326">
        <v>1</v>
      </c>
      <c r="F295" s="328"/>
      <c r="G295" s="329" t="s">
        <v>459</v>
      </c>
      <c r="H295" s="313">
        <v>262</v>
      </c>
      <c r="I295" s="330">
        <f>I296</f>
        <v>0</v>
      </c>
      <c r="J295" s="367">
        <f t="shared" si="47"/>
        <v>0</v>
      </c>
      <c r="K295" s="331">
        <f t="shared" si="47"/>
        <v>0</v>
      </c>
      <c r="L295" s="331">
        <f t="shared" si="47"/>
        <v>0</v>
      </c>
    </row>
    <row r="296" spans="1:12" ht="26.25" customHeight="1">
      <c r="A296" s="325">
        <v>3</v>
      </c>
      <c r="B296" s="326">
        <v>2</v>
      </c>
      <c r="C296" s="326">
        <v>2</v>
      </c>
      <c r="D296" s="326">
        <v>5</v>
      </c>
      <c r="E296" s="326">
        <v>1</v>
      </c>
      <c r="F296" s="328">
        <v>1</v>
      </c>
      <c r="G296" s="329" t="s">
        <v>459</v>
      </c>
      <c r="H296" s="313">
        <v>263</v>
      </c>
      <c r="I296" s="335"/>
      <c r="J296" s="335"/>
      <c r="K296" s="335"/>
      <c r="L296" s="335"/>
    </row>
    <row r="297" spans="1:12" ht="26.25" customHeight="1">
      <c r="A297" s="325">
        <v>3</v>
      </c>
      <c r="B297" s="326">
        <v>2</v>
      </c>
      <c r="C297" s="326">
        <v>2</v>
      </c>
      <c r="D297" s="326">
        <v>6</v>
      </c>
      <c r="E297" s="326"/>
      <c r="F297" s="328"/>
      <c r="G297" s="329" t="s">
        <v>442</v>
      </c>
      <c r="H297" s="313">
        <v>264</v>
      </c>
      <c r="I297" s="330">
        <f>I298</f>
        <v>0</v>
      </c>
      <c r="J297" s="421">
        <f t="shared" ref="J297:L298" si="48">J298</f>
        <v>0</v>
      </c>
      <c r="K297" s="331">
        <f t="shared" si="48"/>
        <v>0</v>
      </c>
      <c r="L297" s="331">
        <f t="shared" si="48"/>
        <v>0</v>
      </c>
    </row>
    <row r="298" spans="1:12" ht="30" customHeight="1">
      <c r="A298" s="325">
        <v>3</v>
      </c>
      <c r="B298" s="326">
        <v>2</v>
      </c>
      <c r="C298" s="326">
        <v>2</v>
      </c>
      <c r="D298" s="326">
        <v>6</v>
      </c>
      <c r="E298" s="326">
        <v>1</v>
      </c>
      <c r="F298" s="328"/>
      <c r="G298" s="327" t="s">
        <v>442</v>
      </c>
      <c r="H298" s="313">
        <v>265</v>
      </c>
      <c r="I298" s="330">
        <f>I299</f>
        <v>0</v>
      </c>
      <c r="J298" s="421">
        <f t="shared" si="48"/>
        <v>0</v>
      </c>
      <c r="K298" s="331">
        <f t="shared" si="48"/>
        <v>0</v>
      </c>
      <c r="L298" s="331">
        <f t="shared" si="48"/>
        <v>0</v>
      </c>
    </row>
    <row r="299" spans="1:12" ht="24.75" customHeight="1">
      <c r="A299" s="325">
        <v>3</v>
      </c>
      <c r="B299" s="354">
        <v>2</v>
      </c>
      <c r="C299" s="354">
        <v>2</v>
      </c>
      <c r="D299" s="326">
        <v>6</v>
      </c>
      <c r="E299" s="354">
        <v>1</v>
      </c>
      <c r="F299" s="355">
        <v>1</v>
      </c>
      <c r="G299" s="388" t="s">
        <v>442</v>
      </c>
      <c r="H299" s="313">
        <v>266</v>
      </c>
      <c r="I299" s="335"/>
      <c r="J299" s="335"/>
      <c r="K299" s="335"/>
      <c r="L299" s="335"/>
    </row>
    <row r="300" spans="1:12" ht="29.25" customHeight="1">
      <c r="A300" s="332">
        <v>3</v>
      </c>
      <c r="B300" s="325">
        <v>2</v>
      </c>
      <c r="C300" s="326">
        <v>2</v>
      </c>
      <c r="D300" s="326">
        <v>7</v>
      </c>
      <c r="E300" s="326"/>
      <c r="F300" s="328"/>
      <c r="G300" s="329" t="s">
        <v>443</v>
      </c>
      <c r="H300" s="313">
        <v>267</v>
      </c>
      <c r="I300" s="330">
        <f>I301</f>
        <v>0</v>
      </c>
      <c r="J300" s="421">
        <f>J301</f>
        <v>0</v>
      </c>
      <c r="K300" s="331">
        <f>K301</f>
        <v>0</v>
      </c>
      <c r="L300" s="331">
        <f>L301</f>
        <v>0</v>
      </c>
    </row>
    <row r="301" spans="1:12" ht="26.25" customHeight="1">
      <c r="A301" s="332">
        <v>3</v>
      </c>
      <c r="B301" s="325">
        <v>2</v>
      </c>
      <c r="C301" s="326">
        <v>2</v>
      </c>
      <c r="D301" s="326">
        <v>7</v>
      </c>
      <c r="E301" s="326">
        <v>1</v>
      </c>
      <c r="F301" s="328"/>
      <c r="G301" s="329" t="s">
        <v>443</v>
      </c>
      <c r="H301" s="313">
        <v>268</v>
      </c>
      <c r="I301" s="330">
        <f>I302+I303</f>
        <v>0</v>
      </c>
      <c r="J301" s="330">
        <f>J302+J303</f>
        <v>0</v>
      </c>
      <c r="K301" s="330">
        <f>K302+K303</f>
        <v>0</v>
      </c>
      <c r="L301" s="330">
        <f>L302+L303</f>
        <v>0</v>
      </c>
    </row>
    <row r="302" spans="1:12" ht="27.75" customHeight="1">
      <c r="A302" s="332">
        <v>3</v>
      </c>
      <c r="B302" s="325">
        <v>2</v>
      </c>
      <c r="C302" s="325">
        <v>2</v>
      </c>
      <c r="D302" s="326">
        <v>7</v>
      </c>
      <c r="E302" s="326">
        <v>1</v>
      </c>
      <c r="F302" s="328">
        <v>1</v>
      </c>
      <c r="G302" s="329" t="s">
        <v>444</v>
      </c>
      <c r="H302" s="313">
        <v>269</v>
      </c>
      <c r="I302" s="335"/>
      <c r="J302" s="335"/>
      <c r="K302" s="335"/>
      <c r="L302" s="335"/>
    </row>
    <row r="303" spans="1:12" ht="25.5" customHeight="1">
      <c r="A303" s="332">
        <v>3</v>
      </c>
      <c r="B303" s="325">
        <v>2</v>
      </c>
      <c r="C303" s="325">
        <v>2</v>
      </c>
      <c r="D303" s="326">
        <v>7</v>
      </c>
      <c r="E303" s="326">
        <v>1</v>
      </c>
      <c r="F303" s="328">
        <v>2</v>
      </c>
      <c r="G303" s="329" t="s">
        <v>445</v>
      </c>
      <c r="H303" s="313">
        <v>270</v>
      </c>
      <c r="I303" s="335"/>
      <c r="J303" s="335"/>
      <c r="K303" s="335"/>
      <c r="L303" s="335"/>
    </row>
    <row r="304" spans="1:12" ht="30" customHeight="1">
      <c r="A304" s="336">
        <v>3</v>
      </c>
      <c r="B304" s="336">
        <v>3</v>
      </c>
      <c r="C304" s="309"/>
      <c r="D304" s="310"/>
      <c r="E304" s="310"/>
      <c r="F304" s="312"/>
      <c r="G304" s="311" t="s">
        <v>460</v>
      </c>
      <c r="H304" s="313">
        <v>271</v>
      </c>
      <c r="I304" s="314">
        <f>SUM(I305+I337)</f>
        <v>0</v>
      </c>
      <c r="J304" s="422">
        <f>SUM(J305+J337)</f>
        <v>0</v>
      </c>
      <c r="K304" s="315">
        <f>SUM(K305+K337)</f>
        <v>0</v>
      </c>
      <c r="L304" s="315">
        <f>SUM(L305+L337)</f>
        <v>0</v>
      </c>
    </row>
    <row r="305" spans="1:12" ht="40.5" customHeight="1">
      <c r="A305" s="332">
        <v>3</v>
      </c>
      <c r="B305" s="332">
        <v>3</v>
      </c>
      <c r="C305" s="325">
        <v>1</v>
      </c>
      <c r="D305" s="326"/>
      <c r="E305" s="326"/>
      <c r="F305" s="328"/>
      <c r="G305" s="329" t="s">
        <v>461</v>
      </c>
      <c r="H305" s="313">
        <v>272</v>
      </c>
      <c r="I305" s="330">
        <f>SUM(I306+I315+I319+I323+I327+I330+I333)</f>
        <v>0</v>
      </c>
      <c r="J305" s="421">
        <f>SUM(J306+J315+J319+J323+J327+J330+J333)</f>
        <v>0</v>
      </c>
      <c r="K305" s="331">
        <f>SUM(K306+K315+K319+K323+K327+K330+K333)</f>
        <v>0</v>
      </c>
      <c r="L305" s="331">
        <f>SUM(L306+L315+L319+L323+L327+L330+L333)</f>
        <v>0</v>
      </c>
    </row>
    <row r="306" spans="1:12" ht="29.25" customHeight="1">
      <c r="A306" s="332">
        <v>3</v>
      </c>
      <c r="B306" s="332">
        <v>3</v>
      </c>
      <c r="C306" s="325">
        <v>1</v>
      </c>
      <c r="D306" s="326">
        <v>1</v>
      </c>
      <c r="E306" s="326"/>
      <c r="F306" s="328"/>
      <c r="G306" s="329" t="s">
        <v>447</v>
      </c>
      <c r="H306" s="313">
        <v>273</v>
      </c>
      <c r="I306" s="330">
        <f>SUM(I307+I309+I312)</f>
        <v>0</v>
      </c>
      <c r="J306" s="330">
        <f>SUM(J307+J309+J312)</f>
        <v>0</v>
      </c>
      <c r="K306" s="330">
        <f t="shared" ref="K306:L306" si="49">SUM(K307+K309+K312)</f>
        <v>0</v>
      </c>
      <c r="L306" s="330">
        <f t="shared" si="49"/>
        <v>0</v>
      </c>
    </row>
    <row r="307" spans="1:12" ht="27" customHeight="1">
      <c r="A307" s="332">
        <v>3</v>
      </c>
      <c r="B307" s="332">
        <v>3</v>
      </c>
      <c r="C307" s="325">
        <v>1</v>
      </c>
      <c r="D307" s="326">
        <v>1</v>
      </c>
      <c r="E307" s="326">
        <v>1</v>
      </c>
      <c r="F307" s="328"/>
      <c r="G307" s="329" t="s">
        <v>425</v>
      </c>
      <c r="H307" s="313">
        <v>274</v>
      </c>
      <c r="I307" s="330">
        <f>SUM(I308:I308)</f>
        <v>0</v>
      </c>
      <c r="J307" s="421">
        <f>SUM(J308:J308)</f>
        <v>0</v>
      </c>
      <c r="K307" s="331">
        <f>SUM(K308:K308)</f>
        <v>0</v>
      </c>
      <c r="L307" s="331">
        <f>SUM(L308:L308)</f>
        <v>0</v>
      </c>
    </row>
    <row r="308" spans="1:12" ht="28.5" customHeight="1">
      <c r="A308" s="332">
        <v>3</v>
      </c>
      <c r="B308" s="332">
        <v>3</v>
      </c>
      <c r="C308" s="325">
        <v>1</v>
      </c>
      <c r="D308" s="326">
        <v>1</v>
      </c>
      <c r="E308" s="326">
        <v>1</v>
      </c>
      <c r="F308" s="328">
        <v>1</v>
      </c>
      <c r="G308" s="329" t="s">
        <v>425</v>
      </c>
      <c r="H308" s="313">
        <v>275</v>
      </c>
      <c r="I308" s="335"/>
      <c r="J308" s="335"/>
      <c r="K308" s="335"/>
      <c r="L308" s="335"/>
    </row>
    <row r="309" spans="1:12" ht="31.5" customHeight="1">
      <c r="A309" s="359">
        <v>3</v>
      </c>
      <c r="B309" s="359">
        <v>3</v>
      </c>
      <c r="C309" s="360">
        <v>1</v>
      </c>
      <c r="D309" s="361">
        <v>1</v>
      </c>
      <c r="E309" s="361">
        <v>2</v>
      </c>
      <c r="F309" s="362"/>
      <c r="G309" s="329" t="s">
        <v>448</v>
      </c>
      <c r="H309" s="313">
        <v>276</v>
      </c>
      <c r="I309" s="314">
        <f>SUM(I310:I311)</f>
        <v>0</v>
      </c>
      <c r="J309" s="314">
        <f>SUM(J310:J311)</f>
        <v>0</v>
      </c>
      <c r="K309" s="314">
        <f t="shared" ref="K309:L309" si="50">SUM(K310:K311)</f>
        <v>0</v>
      </c>
      <c r="L309" s="314">
        <f t="shared" si="50"/>
        <v>0</v>
      </c>
    </row>
    <row r="310" spans="1:12" ht="25.5" customHeight="1">
      <c r="A310" s="359">
        <v>3</v>
      </c>
      <c r="B310" s="359">
        <v>3</v>
      </c>
      <c r="C310" s="360">
        <v>1</v>
      </c>
      <c r="D310" s="361">
        <v>1</v>
      </c>
      <c r="E310" s="361">
        <v>2</v>
      </c>
      <c r="F310" s="362">
        <v>1</v>
      </c>
      <c r="G310" s="329" t="s">
        <v>427</v>
      </c>
      <c r="H310" s="313">
        <v>277</v>
      </c>
      <c r="I310" s="335"/>
      <c r="J310" s="335"/>
      <c r="K310" s="335"/>
      <c r="L310" s="335"/>
    </row>
    <row r="311" spans="1:12" ht="29.25" customHeight="1">
      <c r="A311" s="359">
        <v>3</v>
      </c>
      <c r="B311" s="359">
        <v>3</v>
      </c>
      <c r="C311" s="360">
        <v>1</v>
      </c>
      <c r="D311" s="361">
        <v>1</v>
      </c>
      <c r="E311" s="361">
        <v>2</v>
      </c>
      <c r="F311" s="362">
        <v>2</v>
      </c>
      <c r="G311" s="329" t="s">
        <v>428</v>
      </c>
      <c r="H311" s="313">
        <v>278</v>
      </c>
      <c r="I311" s="335"/>
      <c r="J311" s="335"/>
      <c r="K311" s="335"/>
      <c r="L311" s="335"/>
    </row>
    <row r="312" spans="1:12" ht="28.5" customHeight="1">
      <c r="A312" s="359">
        <v>3</v>
      </c>
      <c r="B312" s="359">
        <v>3</v>
      </c>
      <c r="C312" s="360">
        <v>1</v>
      </c>
      <c r="D312" s="361">
        <v>1</v>
      </c>
      <c r="E312" s="361">
        <v>3</v>
      </c>
      <c r="F312" s="362"/>
      <c r="G312" s="329" t="s">
        <v>429</v>
      </c>
      <c r="H312" s="313">
        <v>279</v>
      </c>
      <c r="I312" s="314">
        <f>SUM(I313:I314)</f>
        <v>0</v>
      </c>
      <c r="J312" s="314">
        <f>SUM(J313:J314)</f>
        <v>0</v>
      </c>
      <c r="K312" s="314">
        <f t="shared" ref="K312:L312" si="51">SUM(K313:K314)</f>
        <v>0</v>
      </c>
      <c r="L312" s="314">
        <f t="shared" si="51"/>
        <v>0</v>
      </c>
    </row>
    <row r="313" spans="1:12" ht="24.75" customHeight="1">
      <c r="A313" s="359">
        <v>3</v>
      </c>
      <c r="B313" s="359">
        <v>3</v>
      </c>
      <c r="C313" s="360">
        <v>1</v>
      </c>
      <c r="D313" s="361">
        <v>1</v>
      </c>
      <c r="E313" s="361">
        <v>3</v>
      </c>
      <c r="F313" s="362">
        <v>1</v>
      </c>
      <c r="G313" s="329" t="s">
        <v>430</v>
      </c>
      <c r="H313" s="313">
        <v>280</v>
      </c>
      <c r="I313" s="335"/>
      <c r="J313" s="335"/>
      <c r="K313" s="335"/>
      <c r="L313" s="335"/>
    </row>
    <row r="314" spans="1:12" ht="22.5" customHeight="1">
      <c r="A314" s="359">
        <v>3</v>
      </c>
      <c r="B314" s="359">
        <v>3</v>
      </c>
      <c r="C314" s="360">
        <v>1</v>
      </c>
      <c r="D314" s="361">
        <v>1</v>
      </c>
      <c r="E314" s="361">
        <v>3</v>
      </c>
      <c r="F314" s="362">
        <v>2</v>
      </c>
      <c r="G314" s="329" t="s">
        <v>449</v>
      </c>
      <c r="H314" s="313">
        <v>281</v>
      </c>
      <c r="I314" s="335"/>
      <c r="J314" s="335"/>
      <c r="K314" s="335"/>
      <c r="L314" s="335"/>
    </row>
    <row r="315" spans="1:12">
      <c r="A315" s="350">
        <v>3</v>
      </c>
      <c r="B315" s="320">
        <v>3</v>
      </c>
      <c r="C315" s="325">
        <v>1</v>
      </c>
      <c r="D315" s="326">
        <v>2</v>
      </c>
      <c r="E315" s="326"/>
      <c r="F315" s="328"/>
      <c r="G315" s="327" t="s">
        <v>462</v>
      </c>
      <c r="H315" s="313">
        <v>282</v>
      </c>
      <c r="I315" s="330">
        <f>I316</f>
        <v>0</v>
      </c>
      <c r="J315" s="421">
        <f>J316</f>
        <v>0</v>
      </c>
      <c r="K315" s="331">
        <f>K316</f>
        <v>0</v>
      </c>
      <c r="L315" s="331">
        <f>L316</f>
        <v>0</v>
      </c>
    </row>
    <row r="316" spans="1:12" ht="26.25" customHeight="1">
      <c r="A316" s="350">
        <v>3</v>
      </c>
      <c r="B316" s="350">
        <v>3</v>
      </c>
      <c r="C316" s="320">
        <v>1</v>
      </c>
      <c r="D316" s="318">
        <v>2</v>
      </c>
      <c r="E316" s="318">
        <v>1</v>
      </c>
      <c r="F316" s="321"/>
      <c r="G316" s="327" t="s">
        <v>462</v>
      </c>
      <c r="H316" s="313">
        <v>283</v>
      </c>
      <c r="I316" s="366">
        <f>SUM(I317:I318)</f>
        <v>0</v>
      </c>
      <c r="J316" s="423">
        <f>SUM(J317:J318)</f>
        <v>0</v>
      </c>
      <c r="K316" s="370">
        <f>SUM(K317:K318)</f>
        <v>0</v>
      </c>
      <c r="L316" s="370">
        <f>SUM(L317:L318)</f>
        <v>0</v>
      </c>
    </row>
    <row r="317" spans="1:12" ht="25.5" customHeight="1">
      <c r="A317" s="332">
        <v>3</v>
      </c>
      <c r="B317" s="332">
        <v>3</v>
      </c>
      <c r="C317" s="325">
        <v>1</v>
      </c>
      <c r="D317" s="326">
        <v>2</v>
      </c>
      <c r="E317" s="326">
        <v>1</v>
      </c>
      <c r="F317" s="328">
        <v>1</v>
      </c>
      <c r="G317" s="329" t="s">
        <v>463</v>
      </c>
      <c r="H317" s="313">
        <v>284</v>
      </c>
      <c r="I317" s="335"/>
      <c r="J317" s="335"/>
      <c r="K317" s="335"/>
      <c r="L317" s="335"/>
    </row>
    <row r="318" spans="1:12" ht="24" customHeight="1">
      <c r="A318" s="342">
        <v>3</v>
      </c>
      <c r="B318" s="395">
        <v>3</v>
      </c>
      <c r="C318" s="353">
        <v>1</v>
      </c>
      <c r="D318" s="354">
        <v>2</v>
      </c>
      <c r="E318" s="354">
        <v>1</v>
      </c>
      <c r="F318" s="355">
        <v>2</v>
      </c>
      <c r="G318" s="356" t="s">
        <v>464</v>
      </c>
      <c r="H318" s="313">
        <v>285</v>
      </c>
      <c r="I318" s="335"/>
      <c r="J318" s="335"/>
      <c r="K318" s="335"/>
      <c r="L318" s="335"/>
    </row>
    <row r="319" spans="1:12" ht="27.75" customHeight="1">
      <c r="A319" s="325">
        <v>3</v>
      </c>
      <c r="B319" s="327">
        <v>3</v>
      </c>
      <c r="C319" s="325">
        <v>1</v>
      </c>
      <c r="D319" s="326">
        <v>3</v>
      </c>
      <c r="E319" s="326"/>
      <c r="F319" s="328"/>
      <c r="G319" s="329" t="s">
        <v>465</v>
      </c>
      <c r="H319" s="313">
        <v>286</v>
      </c>
      <c r="I319" s="330">
        <f>I320</f>
        <v>0</v>
      </c>
      <c r="J319" s="421">
        <f>J320</f>
        <v>0</v>
      </c>
      <c r="K319" s="331">
        <f>K320</f>
        <v>0</v>
      </c>
      <c r="L319" s="331">
        <f>L320</f>
        <v>0</v>
      </c>
    </row>
    <row r="320" spans="1:12" ht="24" customHeight="1">
      <c r="A320" s="325">
        <v>3</v>
      </c>
      <c r="B320" s="388">
        <v>3</v>
      </c>
      <c r="C320" s="353">
        <v>1</v>
      </c>
      <c r="D320" s="354">
        <v>3</v>
      </c>
      <c r="E320" s="354">
        <v>1</v>
      </c>
      <c r="F320" s="355"/>
      <c r="G320" s="329" t="s">
        <v>465</v>
      </c>
      <c r="H320" s="313">
        <v>287</v>
      </c>
      <c r="I320" s="331">
        <f>I321+I322</f>
        <v>0</v>
      </c>
      <c r="J320" s="331">
        <f>J321+J322</f>
        <v>0</v>
      </c>
      <c r="K320" s="331">
        <f>K321+K322</f>
        <v>0</v>
      </c>
      <c r="L320" s="331">
        <f>L321+L322</f>
        <v>0</v>
      </c>
    </row>
    <row r="321" spans="1:12" ht="27" customHeight="1">
      <c r="A321" s="325">
        <v>3</v>
      </c>
      <c r="B321" s="327">
        <v>3</v>
      </c>
      <c r="C321" s="325">
        <v>1</v>
      </c>
      <c r="D321" s="326">
        <v>3</v>
      </c>
      <c r="E321" s="326">
        <v>1</v>
      </c>
      <c r="F321" s="328">
        <v>1</v>
      </c>
      <c r="G321" s="329" t="s">
        <v>466</v>
      </c>
      <c r="H321" s="313">
        <v>288</v>
      </c>
      <c r="I321" s="404"/>
      <c r="J321" s="404"/>
      <c r="K321" s="404"/>
      <c r="L321" s="403"/>
    </row>
    <row r="322" spans="1:12" ht="26.25" customHeight="1">
      <c r="A322" s="325">
        <v>3</v>
      </c>
      <c r="B322" s="327">
        <v>3</v>
      </c>
      <c r="C322" s="325">
        <v>1</v>
      </c>
      <c r="D322" s="326">
        <v>3</v>
      </c>
      <c r="E322" s="326">
        <v>1</v>
      </c>
      <c r="F322" s="328">
        <v>2</v>
      </c>
      <c r="G322" s="329" t="s">
        <v>467</v>
      </c>
      <c r="H322" s="313">
        <v>289</v>
      </c>
      <c r="I322" s="335"/>
      <c r="J322" s="335"/>
      <c r="K322" s="335"/>
      <c r="L322" s="335"/>
    </row>
    <row r="323" spans="1:12">
      <c r="A323" s="325">
        <v>3</v>
      </c>
      <c r="B323" s="327">
        <v>3</v>
      </c>
      <c r="C323" s="325">
        <v>1</v>
      </c>
      <c r="D323" s="326">
        <v>4</v>
      </c>
      <c r="E323" s="326"/>
      <c r="F323" s="328"/>
      <c r="G323" s="329" t="s">
        <v>468</v>
      </c>
      <c r="H323" s="313">
        <v>290</v>
      </c>
      <c r="I323" s="330">
        <f>I324</f>
        <v>0</v>
      </c>
      <c r="J323" s="421">
        <f>J324</f>
        <v>0</v>
      </c>
      <c r="K323" s="331">
        <f>K324</f>
        <v>0</v>
      </c>
      <c r="L323" s="331">
        <f>L324</f>
        <v>0</v>
      </c>
    </row>
    <row r="324" spans="1:12" ht="31.5" customHeight="1">
      <c r="A324" s="332">
        <v>3</v>
      </c>
      <c r="B324" s="325">
        <v>3</v>
      </c>
      <c r="C324" s="326">
        <v>1</v>
      </c>
      <c r="D324" s="326">
        <v>4</v>
      </c>
      <c r="E324" s="326">
        <v>1</v>
      </c>
      <c r="F324" s="328"/>
      <c r="G324" s="329" t="s">
        <v>468</v>
      </c>
      <c r="H324" s="313">
        <v>291</v>
      </c>
      <c r="I324" s="330">
        <f>SUM(I325:I326)</f>
        <v>0</v>
      </c>
      <c r="J324" s="330">
        <f>SUM(J325:J326)</f>
        <v>0</v>
      </c>
      <c r="K324" s="330">
        <f>SUM(K325:K326)</f>
        <v>0</v>
      </c>
      <c r="L324" s="330">
        <f>SUM(L325:L326)</f>
        <v>0</v>
      </c>
    </row>
    <row r="325" spans="1:12">
      <c r="A325" s="332">
        <v>3</v>
      </c>
      <c r="B325" s="325">
        <v>3</v>
      </c>
      <c r="C325" s="326">
        <v>1</v>
      </c>
      <c r="D325" s="326">
        <v>4</v>
      </c>
      <c r="E325" s="326">
        <v>1</v>
      </c>
      <c r="F325" s="328">
        <v>1</v>
      </c>
      <c r="G325" s="329" t="s">
        <v>469</v>
      </c>
      <c r="H325" s="313">
        <v>292</v>
      </c>
      <c r="I325" s="334"/>
      <c r="J325" s="335"/>
      <c r="K325" s="335"/>
      <c r="L325" s="334"/>
    </row>
    <row r="326" spans="1:12" ht="30.75" customHeight="1">
      <c r="A326" s="325">
        <v>3</v>
      </c>
      <c r="B326" s="326">
        <v>3</v>
      </c>
      <c r="C326" s="326">
        <v>1</v>
      </c>
      <c r="D326" s="326">
        <v>4</v>
      </c>
      <c r="E326" s="326">
        <v>1</v>
      </c>
      <c r="F326" s="328">
        <v>2</v>
      </c>
      <c r="G326" s="329" t="s">
        <v>470</v>
      </c>
      <c r="H326" s="313">
        <v>293</v>
      </c>
      <c r="I326" s="335"/>
      <c r="J326" s="404"/>
      <c r="K326" s="404"/>
      <c r="L326" s="403"/>
    </row>
    <row r="327" spans="1:12" ht="26.25" customHeight="1">
      <c r="A327" s="325">
        <v>3</v>
      </c>
      <c r="B327" s="326">
        <v>3</v>
      </c>
      <c r="C327" s="326">
        <v>1</v>
      </c>
      <c r="D327" s="326">
        <v>5</v>
      </c>
      <c r="E327" s="326"/>
      <c r="F327" s="328"/>
      <c r="G327" s="329" t="s">
        <v>471</v>
      </c>
      <c r="H327" s="313">
        <v>294</v>
      </c>
      <c r="I327" s="370">
        <f>I328</f>
        <v>0</v>
      </c>
      <c r="J327" s="421">
        <f t="shared" ref="J327:L328" si="52">J328</f>
        <v>0</v>
      </c>
      <c r="K327" s="331">
        <f t="shared" si="52"/>
        <v>0</v>
      </c>
      <c r="L327" s="331">
        <f t="shared" si="52"/>
        <v>0</v>
      </c>
    </row>
    <row r="328" spans="1:12" ht="30" customHeight="1">
      <c r="A328" s="320">
        <v>3</v>
      </c>
      <c r="B328" s="354">
        <v>3</v>
      </c>
      <c r="C328" s="354">
        <v>1</v>
      </c>
      <c r="D328" s="354">
        <v>5</v>
      </c>
      <c r="E328" s="354">
        <v>1</v>
      </c>
      <c r="F328" s="355"/>
      <c r="G328" s="329" t="s">
        <v>471</v>
      </c>
      <c r="H328" s="313">
        <v>295</v>
      </c>
      <c r="I328" s="331">
        <f>I329</f>
        <v>0</v>
      </c>
      <c r="J328" s="423">
        <f t="shared" si="52"/>
        <v>0</v>
      </c>
      <c r="K328" s="370">
        <f t="shared" si="52"/>
        <v>0</v>
      </c>
      <c r="L328" s="370">
        <f t="shared" si="52"/>
        <v>0</v>
      </c>
    </row>
    <row r="329" spans="1:12" ht="30" customHeight="1">
      <c r="A329" s="325">
        <v>3</v>
      </c>
      <c r="B329" s="326">
        <v>3</v>
      </c>
      <c r="C329" s="326">
        <v>1</v>
      </c>
      <c r="D329" s="326">
        <v>5</v>
      </c>
      <c r="E329" s="326">
        <v>1</v>
      </c>
      <c r="F329" s="328">
        <v>1</v>
      </c>
      <c r="G329" s="329" t="s">
        <v>472</v>
      </c>
      <c r="H329" s="313">
        <v>296</v>
      </c>
      <c r="I329" s="335"/>
      <c r="J329" s="404"/>
      <c r="K329" s="404"/>
      <c r="L329" s="403"/>
    </row>
    <row r="330" spans="1:12" ht="30" customHeight="1">
      <c r="A330" s="325">
        <v>3</v>
      </c>
      <c r="B330" s="326">
        <v>3</v>
      </c>
      <c r="C330" s="326">
        <v>1</v>
      </c>
      <c r="D330" s="326">
        <v>6</v>
      </c>
      <c r="E330" s="326"/>
      <c r="F330" s="328"/>
      <c r="G330" s="327" t="s">
        <v>442</v>
      </c>
      <c r="H330" s="313">
        <v>297</v>
      </c>
      <c r="I330" s="331">
        <f>I331</f>
        <v>0</v>
      </c>
      <c r="J330" s="421">
        <f t="shared" ref="J330:L331" si="53">J331</f>
        <v>0</v>
      </c>
      <c r="K330" s="331">
        <f t="shared" si="53"/>
        <v>0</v>
      </c>
      <c r="L330" s="331">
        <f t="shared" si="53"/>
        <v>0</v>
      </c>
    </row>
    <row r="331" spans="1:12" ht="30" customHeight="1">
      <c r="A331" s="325">
        <v>3</v>
      </c>
      <c r="B331" s="326">
        <v>3</v>
      </c>
      <c r="C331" s="326">
        <v>1</v>
      </c>
      <c r="D331" s="326">
        <v>6</v>
      </c>
      <c r="E331" s="326">
        <v>1</v>
      </c>
      <c r="F331" s="328"/>
      <c r="G331" s="327" t="s">
        <v>442</v>
      </c>
      <c r="H331" s="313">
        <v>298</v>
      </c>
      <c r="I331" s="330">
        <f>I332</f>
        <v>0</v>
      </c>
      <c r="J331" s="421">
        <f t="shared" si="53"/>
        <v>0</v>
      </c>
      <c r="K331" s="331">
        <f t="shared" si="53"/>
        <v>0</v>
      </c>
      <c r="L331" s="331">
        <f t="shared" si="53"/>
        <v>0</v>
      </c>
    </row>
    <row r="332" spans="1:12" ht="25.5" customHeight="1">
      <c r="A332" s="325">
        <v>3</v>
      </c>
      <c r="B332" s="326">
        <v>3</v>
      </c>
      <c r="C332" s="326">
        <v>1</v>
      </c>
      <c r="D332" s="326">
        <v>6</v>
      </c>
      <c r="E332" s="326">
        <v>1</v>
      </c>
      <c r="F332" s="328">
        <v>1</v>
      </c>
      <c r="G332" s="327" t="s">
        <v>442</v>
      </c>
      <c r="H332" s="313">
        <v>299</v>
      </c>
      <c r="I332" s="404"/>
      <c r="J332" s="404"/>
      <c r="K332" s="404"/>
      <c r="L332" s="403"/>
    </row>
    <row r="333" spans="1:12" ht="22.5" customHeight="1">
      <c r="A333" s="325">
        <v>3</v>
      </c>
      <c r="B333" s="326">
        <v>3</v>
      </c>
      <c r="C333" s="326">
        <v>1</v>
      </c>
      <c r="D333" s="326">
        <v>7</v>
      </c>
      <c r="E333" s="326"/>
      <c r="F333" s="328"/>
      <c r="G333" s="329" t="s">
        <v>473</v>
      </c>
      <c r="H333" s="313">
        <v>300</v>
      </c>
      <c r="I333" s="330">
        <f>I334</f>
        <v>0</v>
      </c>
      <c r="J333" s="421">
        <f>J334</f>
        <v>0</v>
      </c>
      <c r="K333" s="331">
        <f>K334</f>
        <v>0</v>
      </c>
      <c r="L333" s="331">
        <f>L334</f>
        <v>0</v>
      </c>
    </row>
    <row r="334" spans="1:12" ht="25.5" customHeight="1">
      <c r="A334" s="325">
        <v>3</v>
      </c>
      <c r="B334" s="326">
        <v>3</v>
      </c>
      <c r="C334" s="326">
        <v>1</v>
      </c>
      <c r="D334" s="326">
        <v>7</v>
      </c>
      <c r="E334" s="326">
        <v>1</v>
      </c>
      <c r="F334" s="328"/>
      <c r="G334" s="329" t="s">
        <v>473</v>
      </c>
      <c r="H334" s="313">
        <v>301</v>
      </c>
      <c r="I334" s="330">
        <f>I335+I336</f>
        <v>0</v>
      </c>
      <c r="J334" s="330">
        <f>J335+J336</f>
        <v>0</v>
      </c>
      <c r="K334" s="330">
        <f>K335+K336</f>
        <v>0</v>
      </c>
      <c r="L334" s="330">
        <f>L335+L336</f>
        <v>0</v>
      </c>
    </row>
    <row r="335" spans="1:12" ht="27" customHeight="1">
      <c r="A335" s="325">
        <v>3</v>
      </c>
      <c r="B335" s="326">
        <v>3</v>
      </c>
      <c r="C335" s="326">
        <v>1</v>
      </c>
      <c r="D335" s="326">
        <v>7</v>
      </c>
      <c r="E335" s="326">
        <v>1</v>
      </c>
      <c r="F335" s="328">
        <v>1</v>
      </c>
      <c r="G335" s="329" t="s">
        <v>474</v>
      </c>
      <c r="H335" s="313">
        <v>302</v>
      </c>
      <c r="I335" s="404"/>
      <c r="J335" s="404"/>
      <c r="K335" s="404"/>
      <c r="L335" s="403"/>
    </row>
    <row r="336" spans="1:12" ht="27.75" customHeight="1">
      <c r="A336" s="325">
        <v>3</v>
      </c>
      <c r="B336" s="326">
        <v>3</v>
      </c>
      <c r="C336" s="326">
        <v>1</v>
      </c>
      <c r="D336" s="326">
        <v>7</v>
      </c>
      <c r="E336" s="326">
        <v>1</v>
      </c>
      <c r="F336" s="328">
        <v>2</v>
      </c>
      <c r="G336" s="329" t="s">
        <v>475</v>
      </c>
      <c r="H336" s="313">
        <v>303</v>
      </c>
      <c r="I336" s="335"/>
      <c r="J336" s="335"/>
      <c r="K336" s="335"/>
      <c r="L336" s="335"/>
    </row>
    <row r="337" spans="1:16" ht="38.25" customHeight="1">
      <c r="A337" s="325">
        <v>3</v>
      </c>
      <c r="B337" s="326">
        <v>3</v>
      </c>
      <c r="C337" s="326">
        <v>2</v>
      </c>
      <c r="D337" s="326"/>
      <c r="E337" s="326"/>
      <c r="F337" s="328"/>
      <c r="G337" s="329" t="s">
        <v>476</v>
      </c>
      <c r="H337" s="313">
        <v>304</v>
      </c>
      <c r="I337" s="330">
        <f>SUM(I338+I347+I351+I355+I359+I362+I365)</f>
        <v>0</v>
      </c>
      <c r="J337" s="421">
        <f>SUM(J338+J347+J351+J355+J359+J362+J365)</f>
        <v>0</v>
      </c>
      <c r="K337" s="331">
        <f>SUM(K338+K347+K351+K355+K359+K362+K365)</f>
        <v>0</v>
      </c>
      <c r="L337" s="331">
        <f>SUM(L338+L347+L351+L355+L359+L362+L365)</f>
        <v>0</v>
      </c>
    </row>
    <row r="338" spans="1:16" ht="30" customHeight="1">
      <c r="A338" s="325">
        <v>3</v>
      </c>
      <c r="B338" s="326">
        <v>3</v>
      </c>
      <c r="C338" s="326">
        <v>2</v>
      </c>
      <c r="D338" s="326">
        <v>1</v>
      </c>
      <c r="E338" s="326"/>
      <c r="F338" s="328"/>
      <c r="G338" s="329" t="s">
        <v>424</v>
      </c>
      <c r="H338" s="313">
        <v>305</v>
      </c>
      <c r="I338" s="330">
        <f>I339</f>
        <v>0</v>
      </c>
      <c r="J338" s="421">
        <f>J339</f>
        <v>0</v>
      </c>
      <c r="K338" s="331">
        <f>K339</f>
        <v>0</v>
      </c>
      <c r="L338" s="331">
        <f>L339</f>
        <v>0</v>
      </c>
    </row>
    <row r="339" spans="1:16">
      <c r="A339" s="332">
        <v>3</v>
      </c>
      <c r="B339" s="325">
        <v>3</v>
      </c>
      <c r="C339" s="326">
        <v>2</v>
      </c>
      <c r="D339" s="327">
        <v>1</v>
      </c>
      <c r="E339" s="325">
        <v>1</v>
      </c>
      <c r="F339" s="328"/>
      <c r="G339" s="329" t="s">
        <v>424</v>
      </c>
      <c r="H339" s="313">
        <v>306</v>
      </c>
      <c r="I339" s="330">
        <f>SUM(I340:I340)</f>
        <v>0</v>
      </c>
      <c r="J339" s="330">
        <f t="shared" ref="J339:P339" si="54">SUM(J340:J340)</f>
        <v>0</v>
      </c>
      <c r="K339" s="330">
        <f t="shared" si="54"/>
        <v>0</v>
      </c>
      <c r="L339" s="330">
        <f t="shared" si="54"/>
        <v>0</v>
      </c>
      <c r="M339" s="424">
        <f t="shared" si="54"/>
        <v>0</v>
      </c>
      <c r="N339" s="424">
        <f t="shared" si="54"/>
        <v>0</v>
      </c>
      <c r="O339" s="424">
        <f t="shared" si="54"/>
        <v>0</v>
      </c>
      <c r="P339" s="424">
        <f t="shared" si="54"/>
        <v>0</v>
      </c>
    </row>
    <row r="340" spans="1:16" ht="27.75" customHeight="1">
      <c r="A340" s="332">
        <v>3</v>
      </c>
      <c r="B340" s="325">
        <v>3</v>
      </c>
      <c r="C340" s="326">
        <v>2</v>
      </c>
      <c r="D340" s="327">
        <v>1</v>
      </c>
      <c r="E340" s="325">
        <v>1</v>
      </c>
      <c r="F340" s="328">
        <v>1</v>
      </c>
      <c r="G340" s="329" t="s">
        <v>425</v>
      </c>
      <c r="H340" s="313">
        <v>307</v>
      </c>
      <c r="I340" s="404"/>
      <c r="J340" s="404"/>
      <c r="K340" s="404"/>
      <c r="L340" s="403"/>
    </row>
    <row r="341" spans="1:16">
      <c r="A341" s="359">
        <v>3</v>
      </c>
      <c r="B341" s="360">
        <v>3</v>
      </c>
      <c r="C341" s="361">
        <v>2</v>
      </c>
      <c r="D341" s="329">
        <v>1</v>
      </c>
      <c r="E341" s="360">
        <v>2</v>
      </c>
      <c r="F341" s="362"/>
      <c r="G341" s="356" t="s">
        <v>448</v>
      </c>
      <c r="H341" s="313">
        <v>308</v>
      </c>
      <c r="I341" s="330">
        <f>SUM(I342:I343)</f>
        <v>0</v>
      </c>
      <c r="J341" s="330">
        <f t="shared" ref="J341:L341" si="55">SUM(J342:J343)</f>
        <v>0</v>
      </c>
      <c r="K341" s="330">
        <f t="shared" si="55"/>
        <v>0</v>
      </c>
      <c r="L341" s="330">
        <f t="shared" si="55"/>
        <v>0</v>
      </c>
    </row>
    <row r="342" spans="1:16">
      <c r="A342" s="359">
        <v>3</v>
      </c>
      <c r="B342" s="360">
        <v>3</v>
      </c>
      <c r="C342" s="361">
        <v>2</v>
      </c>
      <c r="D342" s="329">
        <v>1</v>
      </c>
      <c r="E342" s="360">
        <v>2</v>
      </c>
      <c r="F342" s="362">
        <v>1</v>
      </c>
      <c r="G342" s="356" t="s">
        <v>427</v>
      </c>
      <c r="H342" s="313">
        <v>309</v>
      </c>
      <c r="I342" s="404"/>
      <c r="J342" s="404"/>
      <c r="K342" s="404"/>
      <c r="L342" s="403"/>
    </row>
    <row r="343" spans="1:16">
      <c r="A343" s="359">
        <v>3</v>
      </c>
      <c r="B343" s="360">
        <v>3</v>
      </c>
      <c r="C343" s="361">
        <v>2</v>
      </c>
      <c r="D343" s="329">
        <v>1</v>
      </c>
      <c r="E343" s="360">
        <v>2</v>
      </c>
      <c r="F343" s="362">
        <v>2</v>
      </c>
      <c r="G343" s="356" t="s">
        <v>428</v>
      </c>
      <c r="H343" s="313">
        <v>310</v>
      </c>
      <c r="I343" s="335"/>
      <c r="J343" s="335"/>
      <c r="K343" s="335"/>
      <c r="L343" s="335"/>
    </row>
    <row r="344" spans="1:16">
      <c r="A344" s="359">
        <v>3</v>
      </c>
      <c r="B344" s="360">
        <v>3</v>
      </c>
      <c r="C344" s="361">
        <v>2</v>
      </c>
      <c r="D344" s="329">
        <v>1</v>
      </c>
      <c r="E344" s="360">
        <v>3</v>
      </c>
      <c r="F344" s="362"/>
      <c r="G344" s="356" t="s">
        <v>429</v>
      </c>
      <c r="H344" s="313">
        <v>311</v>
      </c>
      <c r="I344" s="330">
        <f>SUM(I345:I346)</f>
        <v>0</v>
      </c>
      <c r="J344" s="330">
        <f t="shared" ref="J344:L344" si="56">SUM(J345:J346)</f>
        <v>0</v>
      </c>
      <c r="K344" s="330">
        <f t="shared" si="56"/>
        <v>0</v>
      </c>
      <c r="L344" s="330">
        <f t="shared" si="56"/>
        <v>0</v>
      </c>
    </row>
    <row r="345" spans="1:16">
      <c r="A345" s="359">
        <v>3</v>
      </c>
      <c r="B345" s="360">
        <v>3</v>
      </c>
      <c r="C345" s="361">
        <v>2</v>
      </c>
      <c r="D345" s="329">
        <v>1</v>
      </c>
      <c r="E345" s="360">
        <v>3</v>
      </c>
      <c r="F345" s="362">
        <v>1</v>
      </c>
      <c r="G345" s="356" t="s">
        <v>430</v>
      </c>
      <c r="H345" s="313">
        <v>312</v>
      </c>
      <c r="I345" s="335"/>
      <c r="J345" s="335"/>
      <c r="K345" s="335"/>
      <c r="L345" s="335"/>
    </row>
    <row r="346" spans="1:16">
      <c r="A346" s="359">
        <v>3</v>
      </c>
      <c r="B346" s="360">
        <v>3</v>
      </c>
      <c r="C346" s="361">
        <v>2</v>
      </c>
      <c r="D346" s="329">
        <v>1</v>
      </c>
      <c r="E346" s="360">
        <v>3</v>
      </c>
      <c r="F346" s="362">
        <v>2</v>
      </c>
      <c r="G346" s="356" t="s">
        <v>449</v>
      </c>
      <c r="H346" s="313">
        <v>313</v>
      </c>
      <c r="I346" s="357"/>
      <c r="J346" s="425"/>
      <c r="K346" s="357"/>
      <c r="L346" s="357"/>
    </row>
    <row r="347" spans="1:16">
      <c r="A347" s="342">
        <v>3</v>
      </c>
      <c r="B347" s="342">
        <v>3</v>
      </c>
      <c r="C347" s="353">
        <v>2</v>
      </c>
      <c r="D347" s="388">
        <v>2</v>
      </c>
      <c r="E347" s="353"/>
      <c r="F347" s="355"/>
      <c r="G347" s="388" t="s">
        <v>462</v>
      </c>
      <c r="H347" s="313">
        <v>314</v>
      </c>
      <c r="I347" s="347">
        <f>I348</f>
        <v>0</v>
      </c>
      <c r="J347" s="426">
        <f>J348</f>
        <v>0</v>
      </c>
      <c r="K347" s="348">
        <f>K348</f>
        <v>0</v>
      </c>
      <c r="L347" s="348">
        <f>L348</f>
        <v>0</v>
      </c>
    </row>
    <row r="348" spans="1:16">
      <c r="A348" s="332">
        <v>3</v>
      </c>
      <c r="B348" s="332">
        <v>3</v>
      </c>
      <c r="C348" s="325">
        <v>2</v>
      </c>
      <c r="D348" s="327">
        <v>2</v>
      </c>
      <c r="E348" s="325">
        <v>1</v>
      </c>
      <c r="F348" s="328"/>
      <c r="G348" s="388" t="s">
        <v>462</v>
      </c>
      <c r="H348" s="313">
        <v>315</v>
      </c>
      <c r="I348" s="330">
        <f>SUM(I349:I350)</f>
        <v>0</v>
      </c>
      <c r="J348" s="367">
        <f>SUM(J349:J350)</f>
        <v>0</v>
      </c>
      <c r="K348" s="331">
        <f>SUM(K349:K350)</f>
        <v>0</v>
      </c>
      <c r="L348" s="331">
        <f>SUM(L349:L350)</f>
        <v>0</v>
      </c>
    </row>
    <row r="349" spans="1:16">
      <c r="A349" s="332">
        <v>3</v>
      </c>
      <c r="B349" s="332">
        <v>3</v>
      </c>
      <c r="C349" s="325">
        <v>2</v>
      </c>
      <c r="D349" s="327">
        <v>2</v>
      </c>
      <c r="E349" s="332">
        <v>1</v>
      </c>
      <c r="F349" s="375">
        <v>1</v>
      </c>
      <c r="G349" s="329" t="s">
        <v>463</v>
      </c>
      <c r="H349" s="313">
        <v>316</v>
      </c>
      <c r="I349" s="335"/>
      <c r="J349" s="335"/>
      <c r="K349" s="335"/>
      <c r="L349" s="335"/>
    </row>
    <row r="350" spans="1:16">
      <c r="A350" s="342">
        <v>3</v>
      </c>
      <c r="B350" s="342">
        <v>3</v>
      </c>
      <c r="C350" s="343">
        <v>2</v>
      </c>
      <c r="D350" s="344">
        <v>2</v>
      </c>
      <c r="E350" s="345">
        <v>1</v>
      </c>
      <c r="F350" s="389">
        <v>2</v>
      </c>
      <c r="G350" s="379" t="s">
        <v>464</v>
      </c>
      <c r="H350" s="313">
        <v>317</v>
      </c>
      <c r="I350" s="335"/>
      <c r="J350" s="335"/>
      <c r="K350" s="335"/>
      <c r="L350" s="335"/>
    </row>
    <row r="351" spans="1:16" ht="23.25" customHeight="1">
      <c r="A351" s="332">
        <v>3</v>
      </c>
      <c r="B351" s="332">
        <v>3</v>
      </c>
      <c r="C351" s="325">
        <v>2</v>
      </c>
      <c r="D351" s="326">
        <v>3</v>
      </c>
      <c r="E351" s="327"/>
      <c r="F351" s="375"/>
      <c r="G351" s="329" t="s">
        <v>465</v>
      </c>
      <c r="H351" s="313">
        <v>318</v>
      </c>
      <c r="I351" s="330">
        <f>I352</f>
        <v>0</v>
      </c>
      <c r="J351" s="367">
        <f>J352</f>
        <v>0</v>
      </c>
      <c r="K351" s="331">
        <f>K352</f>
        <v>0</v>
      </c>
      <c r="L351" s="331">
        <f>L352</f>
        <v>0</v>
      </c>
    </row>
    <row r="352" spans="1:16" ht="27.75" customHeight="1">
      <c r="A352" s="332">
        <v>3</v>
      </c>
      <c r="B352" s="332">
        <v>3</v>
      </c>
      <c r="C352" s="325">
        <v>2</v>
      </c>
      <c r="D352" s="326">
        <v>3</v>
      </c>
      <c r="E352" s="327">
        <v>1</v>
      </c>
      <c r="F352" s="375"/>
      <c r="G352" s="329" t="s">
        <v>465</v>
      </c>
      <c r="H352" s="313">
        <v>319</v>
      </c>
      <c r="I352" s="330">
        <f>I353+I354</f>
        <v>0</v>
      </c>
      <c r="J352" s="330">
        <f>J353+J354</f>
        <v>0</v>
      </c>
      <c r="K352" s="330">
        <f>K353+K354</f>
        <v>0</v>
      </c>
      <c r="L352" s="330">
        <f>L353+L354</f>
        <v>0</v>
      </c>
    </row>
    <row r="353" spans="1:12" ht="28.5" customHeight="1">
      <c r="A353" s="332">
        <v>3</v>
      </c>
      <c r="B353" s="332">
        <v>3</v>
      </c>
      <c r="C353" s="325">
        <v>2</v>
      </c>
      <c r="D353" s="326">
        <v>3</v>
      </c>
      <c r="E353" s="327">
        <v>1</v>
      </c>
      <c r="F353" s="375">
        <v>1</v>
      </c>
      <c r="G353" s="329" t="s">
        <v>466</v>
      </c>
      <c r="H353" s="313">
        <v>320</v>
      </c>
      <c r="I353" s="404"/>
      <c r="J353" s="404"/>
      <c r="K353" s="404"/>
      <c r="L353" s="403"/>
    </row>
    <row r="354" spans="1:12" ht="27.75" customHeight="1">
      <c r="A354" s="332">
        <v>3</v>
      </c>
      <c r="B354" s="332">
        <v>3</v>
      </c>
      <c r="C354" s="325">
        <v>2</v>
      </c>
      <c r="D354" s="326">
        <v>3</v>
      </c>
      <c r="E354" s="327">
        <v>1</v>
      </c>
      <c r="F354" s="375">
        <v>2</v>
      </c>
      <c r="G354" s="329" t="s">
        <v>467</v>
      </c>
      <c r="H354" s="313">
        <v>321</v>
      </c>
      <c r="I354" s="335"/>
      <c r="J354" s="335"/>
      <c r="K354" s="335"/>
      <c r="L354" s="335"/>
    </row>
    <row r="355" spans="1:12">
      <c r="A355" s="332">
        <v>3</v>
      </c>
      <c r="B355" s="332">
        <v>3</v>
      </c>
      <c r="C355" s="325">
        <v>2</v>
      </c>
      <c r="D355" s="326">
        <v>4</v>
      </c>
      <c r="E355" s="326"/>
      <c r="F355" s="328"/>
      <c r="G355" s="329" t="s">
        <v>468</v>
      </c>
      <c r="H355" s="313">
        <v>322</v>
      </c>
      <c r="I355" s="330">
        <f>I356</f>
        <v>0</v>
      </c>
      <c r="J355" s="367">
        <f>J356</f>
        <v>0</v>
      </c>
      <c r="K355" s="331">
        <f>K356</f>
        <v>0</v>
      </c>
      <c r="L355" s="331">
        <f>L356</f>
        <v>0</v>
      </c>
    </row>
    <row r="356" spans="1:12">
      <c r="A356" s="350">
        <v>3</v>
      </c>
      <c r="B356" s="350">
        <v>3</v>
      </c>
      <c r="C356" s="320">
        <v>2</v>
      </c>
      <c r="D356" s="318">
        <v>4</v>
      </c>
      <c r="E356" s="318">
        <v>1</v>
      </c>
      <c r="F356" s="321"/>
      <c r="G356" s="329" t="s">
        <v>468</v>
      </c>
      <c r="H356" s="313">
        <v>323</v>
      </c>
      <c r="I356" s="366">
        <f>SUM(I357:I358)</f>
        <v>0</v>
      </c>
      <c r="J356" s="369">
        <f>SUM(J357:J358)</f>
        <v>0</v>
      </c>
      <c r="K356" s="370">
        <f>SUM(K357:K358)</f>
        <v>0</v>
      </c>
      <c r="L356" s="370">
        <f>SUM(L357:L358)</f>
        <v>0</v>
      </c>
    </row>
    <row r="357" spans="1:12" ht="30.75" customHeight="1">
      <c r="A357" s="332">
        <v>3</v>
      </c>
      <c r="B357" s="332">
        <v>3</v>
      </c>
      <c r="C357" s="325">
        <v>2</v>
      </c>
      <c r="D357" s="326">
        <v>4</v>
      </c>
      <c r="E357" s="326">
        <v>1</v>
      </c>
      <c r="F357" s="328">
        <v>1</v>
      </c>
      <c r="G357" s="329" t="s">
        <v>469</v>
      </c>
      <c r="H357" s="313">
        <v>324</v>
      </c>
      <c r="I357" s="335"/>
      <c r="J357" s="335"/>
      <c r="K357" s="335"/>
      <c r="L357" s="335"/>
    </row>
    <row r="358" spans="1:12">
      <c r="A358" s="332">
        <v>3</v>
      </c>
      <c r="B358" s="332">
        <v>3</v>
      </c>
      <c r="C358" s="325">
        <v>2</v>
      </c>
      <c r="D358" s="326">
        <v>4</v>
      </c>
      <c r="E358" s="326">
        <v>1</v>
      </c>
      <c r="F358" s="328">
        <v>2</v>
      </c>
      <c r="G358" s="329" t="s">
        <v>477</v>
      </c>
      <c r="H358" s="313">
        <v>325</v>
      </c>
      <c r="I358" s="335"/>
      <c r="J358" s="335"/>
      <c r="K358" s="335"/>
      <c r="L358" s="335"/>
    </row>
    <row r="359" spans="1:12">
      <c r="A359" s="332">
        <v>3</v>
      </c>
      <c r="B359" s="332">
        <v>3</v>
      </c>
      <c r="C359" s="325">
        <v>2</v>
      </c>
      <c r="D359" s="326">
        <v>5</v>
      </c>
      <c r="E359" s="326"/>
      <c r="F359" s="328"/>
      <c r="G359" s="329" t="s">
        <v>471</v>
      </c>
      <c r="H359" s="313">
        <v>326</v>
      </c>
      <c r="I359" s="330">
        <f>I360</f>
        <v>0</v>
      </c>
      <c r="J359" s="367">
        <f t="shared" ref="J359:L360" si="57">J360</f>
        <v>0</v>
      </c>
      <c r="K359" s="331">
        <f t="shared" si="57"/>
        <v>0</v>
      </c>
      <c r="L359" s="331">
        <f t="shared" si="57"/>
        <v>0</v>
      </c>
    </row>
    <row r="360" spans="1:12">
      <c r="A360" s="350">
        <v>3</v>
      </c>
      <c r="B360" s="350">
        <v>3</v>
      </c>
      <c r="C360" s="320">
        <v>2</v>
      </c>
      <c r="D360" s="318">
        <v>5</v>
      </c>
      <c r="E360" s="318">
        <v>1</v>
      </c>
      <c r="F360" s="321"/>
      <c r="G360" s="329" t="s">
        <v>471</v>
      </c>
      <c r="H360" s="313">
        <v>327</v>
      </c>
      <c r="I360" s="366">
        <f>I361</f>
        <v>0</v>
      </c>
      <c r="J360" s="369">
        <f t="shared" si="57"/>
        <v>0</v>
      </c>
      <c r="K360" s="370">
        <f t="shared" si="57"/>
        <v>0</v>
      </c>
      <c r="L360" s="370">
        <f t="shared" si="57"/>
        <v>0</v>
      </c>
    </row>
    <row r="361" spans="1:12">
      <c r="A361" s="332">
        <v>3</v>
      </c>
      <c r="B361" s="332">
        <v>3</v>
      </c>
      <c r="C361" s="325">
        <v>2</v>
      </c>
      <c r="D361" s="326">
        <v>5</v>
      </c>
      <c r="E361" s="326">
        <v>1</v>
      </c>
      <c r="F361" s="328">
        <v>1</v>
      </c>
      <c r="G361" s="329" t="s">
        <v>471</v>
      </c>
      <c r="H361" s="313">
        <v>328</v>
      </c>
      <c r="I361" s="404"/>
      <c r="J361" s="404"/>
      <c r="K361" s="404"/>
      <c r="L361" s="403"/>
    </row>
    <row r="362" spans="1:12" ht="30.75" customHeight="1">
      <c r="A362" s="332">
        <v>3</v>
      </c>
      <c r="B362" s="332">
        <v>3</v>
      </c>
      <c r="C362" s="325">
        <v>2</v>
      </c>
      <c r="D362" s="326">
        <v>6</v>
      </c>
      <c r="E362" s="326"/>
      <c r="F362" s="328"/>
      <c r="G362" s="327" t="s">
        <v>442</v>
      </c>
      <c r="H362" s="313">
        <v>329</v>
      </c>
      <c r="I362" s="330">
        <f>I363</f>
        <v>0</v>
      </c>
      <c r="J362" s="367">
        <f t="shared" ref="I362:L363" si="58">J363</f>
        <v>0</v>
      </c>
      <c r="K362" s="331">
        <f t="shared" si="58"/>
        <v>0</v>
      </c>
      <c r="L362" s="331">
        <f t="shared" si="58"/>
        <v>0</v>
      </c>
    </row>
    <row r="363" spans="1:12" ht="25.5" customHeight="1">
      <c r="A363" s="332">
        <v>3</v>
      </c>
      <c r="B363" s="332">
        <v>3</v>
      </c>
      <c r="C363" s="325">
        <v>2</v>
      </c>
      <c r="D363" s="326">
        <v>6</v>
      </c>
      <c r="E363" s="326">
        <v>1</v>
      </c>
      <c r="F363" s="328"/>
      <c r="G363" s="327" t="s">
        <v>442</v>
      </c>
      <c r="H363" s="313">
        <v>330</v>
      </c>
      <c r="I363" s="330">
        <f t="shared" si="58"/>
        <v>0</v>
      </c>
      <c r="J363" s="367">
        <f t="shared" si="58"/>
        <v>0</v>
      </c>
      <c r="K363" s="331">
        <f t="shared" si="58"/>
        <v>0</v>
      </c>
      <c r="L363" s="331">
        <f t="shared" si="58"/>
        <v>0</v>
      </c>
    </row>
    <row r="364" spans="1:12" ht="24" customHeight="1">
      <c r="A364" s="342">
        <v>3</v>
      </c>
      <c r="B364" s="342">
        <v>3</v>
      </c>
      <c r="C364" s="343">
        <v>2</v>
      </c>
      <c r="D364" s="344">
        <v>6</v>
      </c>
      <c r="E364" s="344">
        <v>1</v>
      </c>
      <c r="F364" s="346">
        <v>1</v>
      </c>
      <c r="G364" s="345" t="s">
        <v>442</v>
      </c>
      <c r="H364" s="313">
        <v>331</v>
      </c>
      <c r="I364" s="404"/>
      <c r="J364" s="404"/>
      <c r="K364" s="404"/>
      <c r="L364" s="403"/>
    </row>
    <row r="365" spans="1:12" ht="28.5" customHeight="1">
      <c r="A365" s="332">
        <v>3</v>
      </c>
      <c r="B365" s="332">
        <v>3</v>
      </c>
      <c r="C365" s="325">
        <v>2</v>
      </c>
      <c r="D365" s="326">
        <v>7</v>
      </c>
      <c r="E365" s="326"/>
      <c r="F365" s="328"/>
      <c r="G365" s="329" t="s">
        <v>473</v>
      </c>
      <c r="H365" s="313">
        <v>332</v>
      </c>
      <c r="I365" s="330">
        <f>I366</f>
        <v>0</v>
      </c>
      <c r="J365" s="367">
        <f t="shared" ref="J365:L365" si="59">J366</f>
        <v>0</v>
      </c>
      <c r="K365" s="331">
        <f t="shared" si="59"/>
        <v>0</v>
      </c>
      <c r="L365" s="331">
        <f t="shared" si="59"/>
        <v>0</v>
      </c>
    </row>
    <row r="366" spans="1:12" ht="28.5" customHeight="1">
      <c r="A366" s="342">
        <v>3</v>
      </c>
      <c r="B366" s="342">
        <v>3</v>
      </c>
      <c r="C366" s="343">
        <v>2</v>
      </c>
      <c r="D366" s="344">
        <v>7</v>
      </c>
      <c r="E366" s="344">
        <v>1</v>
      </c>
      <c r="F366" s="346"/>
      <c r="G366" s="329" t="s">
        <v>473</v>
      </c>
      <c r="H366" s="313">
        <v>333</v>
      </c>
      <c r="I366" s="330">
        <f>SUM(I367:I368)</f>
        <v>0</v>
      </c>
      <c r="J366" s="330">
        <f t="shared" ref="J366:L366" si="60">SUM(J367:J368)</f>
        <v>0</v>
      </c>
      <c r="K366" s="330">
        <f t="shared" si="60"/>
        <v>0</v>
      </c>
      <c r="L366" s="330">
        <f t="shared" si="60"/>
        <v>0</v>
      </c>
    </row>
    <row r="367" spans="1:12" ht="27" customHeight="1">
      <c r="A367" s="332">
        <v>3</v>
      </c>
      <c r="B367" s="332">
        <v>3</v>
      </c>
      <c r="C367" s="325">
        <v>2</v>
      </c>
      <c r="D367" s="326">
        <v>7</v>
      </c>
      <c r="E367" s="326">
        <v>1</v>
      </c>
      <c r="F367" s="328">
        <v>1</v>
      </c>
      <c r="G367" s="329" t="s">
        <v>474</v>
      </c>
      <c r="H367" s="313">
        <v>334</v>
      </c>
      <c r="I367" s="404"/>
      <c r="J367" s="404"/>
      <c r="K367" s="404"/>
      <c r="L367" s="403"/>
    </row>
    <row r="368" spans="1:12" ht="30" customHeight="1">
      <c r="A368" s="359">
        <v>3</v>
      </c>
      <c r="B368" s="359">
        <v>3</v>
      </c>
      <c r="C368" s="360">
        <v>2</v>
      </c>
      <c r="D368" s="361">
        <v>7</v>
      </c>
      <c r="E368" s="361">
        <v>1</v>
      </c>
      <c r="F368" s="362">
        <v>2</v>
      </c>
      <c r="G368" s="329" t="s">
        <v>475</v>
      </c>
      <c r="H368" s="313">
        <v>335</v>
      </c>
      <c r="I368" s="335"/>
      <c r="J368" s="335"/>
      <c r="K368" s="335"/>
      <c r="L368" s="335"/>
    </row>
    <row r="369" spans="1:12" ht="39.75" customHeight="1">
      <c r="A369" s="427"/>
      <c r="B369" s="427"/>
      <c r="C369" s="428"/>
      <c r="D369" s="429"/>
      <c r="E369" s="430"/>
      <c r="F369" s="431"/>
      <c r="G369" s="432" t="s">
        <v>478</v>
      </c>
      <c r="H369" s="313">
        <v>336</v>
      </c>
      <c r="I369" s="433">
        <f>SUM(I34+I185)</f>
        <v>40477000</v>
      </c>
      <c r="J369" s="433">
        <f>J34+J185</f>
        <v>31477000</v>
      </c>
      <c r="K369" s="433">
        <f>K34+K185</f>
        <v>19807701.289999999</v>
      </c>
      <c r="L369" s="433">
        <f>SUM(L34+L185)</f>
        <v>19804966.640000001</v>
      </c>
    </row>
    <row r="370" spans="1:12" ht="18.75" customHeight="1">
      <c r="G370" s="316"/>
      <c r="H370" s="313"/>
      <c r="I370" s="434"/>
      <c r="J370" s="435"/>
      <c r="K370" s="436"/>
      <c r="L370" s="435"/>
    </row>
    <row r="371" spans="1:12" ht="18.75" customHeight="1">
      <c r="D371" s="82"/>
      <c r="E371" s="82"/>
      <c r="F371" s="83"/>
      <c r="G371" s="82" t="s">
        <v>88</v>
      </c>
      <c r="H371" s="88"/>
      <c r="I371" s="80"/>
      <c r="J371" s="87"/>
      <c r="K371" s="80" t="s">
        <v>89</v>
      </c>
      <c r="L371" s="80"/>
    </row>
    <row r="372" spans="1:12" ht="17.649999999999999">
      <c r="A372" s="437"/>
      <c r="B372" s="437"/>
      <c r="C372" s="437"/>
      <c r="D372" s="86" t="s">
        <v>479</v>
      </c>
      <c r="E372" s="136"/>
      <c r="F372" s="136"/>
      <c r="G372" s="136"/>
      <c r="H372" s="136"/>
      <c r="I372" s="85" t="s">
        <v>90</v>
      </c>
      <c r="J372" s="78"/>
      <c r="K372" s="650" t="s">
        <v>480</v>
      </c>
      <c r="L372" s="650"/>
    </row>
    <row r="373" spans="1:12" ht="14.65">
      <c r="D373" s="78"/>
      <c r="E373" s="78"/>
      <c r="F373" s="84"/>
      <c r="G373" s="78"/>
      <c r="H373" s="78"/>
      <c r="I373" s="81"/>
      <c r="J373" s="78"/>
      <c r="K373" s="81"/>
      <c r="L373" s="81"/>
    </row>
    <row r="374" spans="1:12" ht="14.65">
      <c r="D374" s="82" t="s">
        <v>92</v>
      </c>
      <c r="E374" s="82"/>
      <c r="F374" s="83"/>
      <c r="G374" s="82"/>
      <c r="H374" s="78"/>
      <c r="I374" s="81"/>
      <c r="J374" s="78"/>
      <c r="K374" s="80" t="s">
        <v>93</v>
      </c>
      <c r="L374" s="79"/>
    </row>
    <row r="375" spans="1:12" ht="26.25" customHeight="1">
      <c r="D375" s="651" t="s">
        <v>481</v>
      </c>
      <c r="E375" s="652"/>
      <c r="F375" s="652"/>
      <c r="G375" s="652"/>
      <c r="H375" s="438"/>
      <c r="I375" s="439" t="s">
        <v>90</v>
      </c>
      <c r="K375" s="653" t="s">
        <v>480</v>
      </c>
      <c r="L375" s="653"/>
    </row>
    <row r="377" spans="1:12">
      <c r="H377" s="247" t="s">
        <v>482</v>
      </c>
    </row>
  </sheetData>
  <protectedRanges>
    <protectedRange sqref="A27:I28" name="Range72_1"/>
    <protectedRange sqref="J177:L178 J184:L184 I183:I184 I182:L182" name="Range71_1"/>
    <protectedRange sqref="A13:L13" name="Range69"/>
    <protectedRange sqref="K27:L28" name="Range67_1"/>
    <protectedRange sqref="L25" name="Range65_1"/>
    <protectedRange sqref="I361:L361" name="Range59_1"/>
    <protectedRange sqref="I332:L332 L257 L198 L204 I325:L325 L193 I267:L267 L264 L195 I353:L353 L223 L216 L220 L226 L228 I367:L367" name="Range53_1"/>
    <protectedRange sqref="J326:L326" name="Range51_1"/>
    <protectedRange sqref="I198:K199 I193:K195 I326 I190:L190 J179:L179 I213:K216 I354:L354 I220:K220 I204:K205 I317:L318 I357:L358 I349:L350 I329 I177:I178 J177:L177 I209:L209 L194 L199 L205 L213:L215 L224:L225 I252:L253 I257:K257 I256:L256 I322:L322 I336:L336 I182:L183 I200:L201 I284:L285 I288:L289 I296:L296 I299:L299 I260:L261 J168:L168 J158:L158 J135:L135 J93:L93 J60:L60 J57:L57 I109:L109 I292:L293 L227 I341:L341 I343:L346 I368:L368 I232:L238 I302:L303 I206:L206 I270:L271 I243:L249 I275:L281 I308:L314 I223:K228 J139:L139" name="Range37_1"/>
    <protectedRange sqref="I179 A180:F180" name="Range23_1"/>
    <protectedRange sqref="I168" name="Range21_1"/>
    <protectedRange sqref="I157:L157 I158" name="Range19_1"/>
    <protectedRange sqref="I144:L145" name="Socialines ismokos 2.7_1"/>
    <protectedRange sqref="I131:L131" name="Imokos 2.6.4_1"/>
    <protectedRange sqref="I123:L123" name="Imokos i ES 2.6.1.1_1"/>
    <protectedRange sqref="I108:L108" name="dOTACIJOS 2.5.3_1"/>
    <protectedRange sqref="I98:L99" name="Dotacijos_1"/>
    <protectedRange sqref="I75:L77 I83:L84" name="Turto islaidos 2.3.1.2_1"/>
    <protectedRange sqref="I55:I56" name="Range3_1"/>
    <protectedRange sqref="I39 I41" name="Islaidos 2.1_1"/>
    <protectedRange sqref="I45:L45 J39:L39 I50:I54 J41:L41" name="Islaidos 2.2_1"/>
    <protectedRange sqref="I70:L72" name="Turto islaidos 2.3_1"/>
    <protectedRange sqref="I80:L82 I85:L86" name="Turto islaidos 2.3.1.3_1"/>
    <protectedRange sqref="I91:L92 I93 I110:L113" name="Subsidijos 2.4_1"/>
    <protectedRange sqref="I103:L104" name="Dotacijos 2.5.2.1_1"/>
    <protectedRange sqref="I118:L119" name="iMOKOS I es 2.6_1"/>
    <protectedRange sqref="I127:L127" name="Imokos i ES 2.6.3.1_1"/>
    <protectedRange sqref="I135 I139" name="Imokos 2.6.5.1_1"/>
    <protectedRange sqref="I149:L153" name="Range18_1"/>
    <protectedRange sqref="I163:L165" name="Range20_1"/>
    <protectedRange sqref="I173:L173" name="Range22_1"/>
    <protectedRange sqref="I264:K264" name="Range38_1"/>
    <protectedRange sqref="I321:L321" name="Range50_1"/>
    <protectedRange sqref="J329:L329" name="Range52_1"/>
    <protectedRange sqref="I335:L335 I340:L340 I342:L342" name="Range54_1"/>
    <protectedRange sqref="I364:L364" name="Range60_1"/>
    <protectedRange sqref="B8:F9 J8:L9" name="Range62_2"/>
    <protectedRange sqref="L24" name="Range64_1"/>
    <protectedRange sqref="L26" name="Range66_1"/>
    <protectedRange sqref="I29:L29" name="Range68_1"/>
    <protectedRange sqref="I58:L59 I57 I60 I61:L65 K50:L56 J50:J53 J55:J56" name="Range57_1"/>
    <protectedRange sqref="H30 A23:F26 G23:G24 G26 H23:J26" name="Range73_1"/>
    <protectedRange sqref="I236:L238 I243:L243 I245:L246 I248:L249" name="Range55_1"/>
  </protectedRanges>
  <mergeCells count="26">
    <mergeCell ref="I1:L1"/>
    <mergeCell ref="I2:L2"/>
    <mergeCell ref="I3:L3"/>
    <mergeCell ref="A9:L9"/>
    <mergeCell ref="G15:K15"/>
    <mergeCell ref="B16:L16"/>
    <mergeCell ref="G18:K18"/>
    <mergeCell ref="G19:K19"/>
    <mergeCell ref="A10:L10"/>
    <mergeCell ref="G12:K12"/>
    <mergeCell ref="A13:L13"/>
    <mergeCell ref="G14:K14"/>
    <mergeCell ref="E21:K21"/>
    <mergeCell ref="A22:L22"/>
    <mergeCell ref="G29:H29"/>
    <mergeCell ref="A31:F32"/>
    <mergeCell ref="G31:G32"/>
    <mergeCell ref="H31:H32"/>
    <mergeCell ref="I31:J31"/>
    <mergeCell ref="L31:L32"/>
    <mergeCell ref="C26:I26"/>
    <mergeCell ref="A33:F33"/>
    <mergeCell ref="K372:L372"/>
    <mergeCell ref="D375:G375"/>
    <mergeCell ref="K375:L375"/>
    <mergeCell ref="K31:K32"/>
  </mergeCells>
  <pageMargins left="0.70866141732283472" right="0.70866141732283472" top="0.39370078740157483" bottom="0.19685039370078741" header="0.23622047244094491" footer="0.31496062992125984"/>
  <pageSetup paperSize="9" scale="81" firstPageNumber="12" fitToHeight="0" orientation="portrait" useFirstPageNumber="1" r:id="rId1"/>
  <headerFooter alignWithMargins="0">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59082-88D7-417C-8CBC-2C34F04C4055}">
  <sheetPr>
    <pageSetUpPr fitToPage="1"/>
  </sheetPr>
  <dimension ref="A1:K58"/>
  <sheetViews>
    <sheetView topLeftCell="A25" zoomScaleNormal="100" zoomScaleSheetLayoutView="89" workbookViewId="0">
      <selection activeCell="A19" sqref="A19:J19"/>
    </sheetView>
  </sheetViews>
  <sheetFormatPr defaultColWidth="9.33203125" defaultRowHeight="12"/>
  <cols>
    <col min="1" max="1" width="53.1328125" style="445" customWidth="1"/>
    <col min="2" max="2" width="11.46484375" style="445" customWidth="1"/>
    <col min="3" max="3" width="12.33203125" style="445" customWidth="1"/>
    <col min="4" max="4" width="14.33203125" style="445" customWidth="1"/>
    <col min="5" max="5" width="12" style="445" customWidth="1"/>
    <col min="6" max="6" width="10.6640625" style="445" customWidth="1"/>
    <col min="7" max="7" width="10.46484375" style="445" customWidth="1"/>
    <col min="8" max="8" width="18.33203125" style="445" customWidth="1"/>
    <col min="9" max="9" width="15.1328125" style="445" customWidth="1"/>
    <col min="10" max="10" width="15.6640625" style="445" customWidth="1"/>
    <col min="11" max="11" width="14.33203125" style="445" customWidth="1"/>
    <col min="12" max="16384" width="9.33203125" style="445"/>
  </cols>
  <sheetData>
    <row r="1" spans="1:10" s="443" customFormat="1">
      <c r="D1" s="444"/>
      <c r="E1" s="444"/>
      <c r="G1" s="700" t="s">
        <v>483</v>
      </c>
      <c r="H1" s="700"/>
      <c r="I1" s="700"/>
      <c r="J1" s="700"/>
    </row>
    <row r="2" spans="1:10">
      <c r="B2" s="701"/>
      <c r="C2" s="701"/>
      <c r="D2" s="701"/>
      <c r="E2" s="701"/>
      <c r="F2" s="701"/>
      <c r="G2" s="701"/>
    </row>
    <row r="3" spans="1:10">
      <c r="B3" s="702" t="s">
        <v>484</v>
      </c>
      <c r="C3" s="702"/>
      <c r="D3" s="702"/>
      <c r="E3" s="702"/>
      <c r="F3" s="702"/>
      <c r="G3" s="702"/>
      <c r="H3" s="446"/>
      <c r="I3" s="446"/>
      <c r="J3" s="446"/>
    </row>
    <row r="4" spans="1:10">
      <c r="C4" s="447"/>
      <c r="D4" s="446"/>
      <c r="E4" s="446"/>
      <c r="F4" s="446"/>
      <c r="G4" s="446"/>
      <c r="H4" s="446"/>
      <c r="I4" s="446"/>
      <c r="J4" s="446"/>
    </row>
    <row r="5" spans="1:10" s="448" customFormat="1" ht="13.15">
      <c r="A5" s="703" t="s">
        <v>485</v>
      </c>
      <c r="B5" s="703"/>
      <c r="C5" s="703"/>
      <c r="D5" s="703"/>
      <c r="E5" s="703"/>
      <c r="F5" s="703"/>
      <c r="G5" s="703"/>
      <c r="H5" s="703"/>
      <c r="I5" s="703"/>
      <c r="J5" s="703"/>
    </row>
    <row r="6" spans="1:10">
      <c r="A6" s="704" t="s">
        <v>486</v>
      </c>
      <c r="B6" s="704"/>
      <c r="C6" s="704"/>
      <c r="D6" s="704"/>
      <c r="E6" s="704"/>
      <c r="F6" s="704"/>
      <c r="G6" s="704"/>
      <c r="H6" s="704"/>
      <c r="I6" s="704"/>
      <c r="J6" s="704"/>
    </row>
    <row r="7" spans="1:10">
      <c r="A7" s="449"/>
      <c r="C7" s="690" t="s">
        <v>487</v>
      </c>
      <c r="D7" s="690"/>
      <c r="E7" s="690"/>
      <c r="F7" s="690"/>
      <c r="G7" s="449"/>
      <c r="H7" s="449"/>
      <c r="I7" s="449"/>
      <c r="J7" s="449"/>
    </row>
    <row r="8" spans="1:10" ht="12" customHeight="1">
      <c r="A8" s="449"/>
      <c r="B8" s="450"/>
      <c r="C8" s="705" t="s">
        <v>488</v>
      </c>
      <c r="D8" s="705"/>
      <c r="E8" s="705"/>
      <c r="F8" s="705"/>
      <c r="G8" s="449"/>
      <c r="H8" s="449"/>
      <c r="I8" s="449"/>
      <c r="J8" s="449"/>
    </row>
    <row r="9" spans="1:10">
      <c r="A9" s="449"/>
      <c r="C9" s="687" t="s">
        <v>3</v>
      </c>
      <c r="D9" s="687"/>
      <c r="E9" s="687"/>
      <c r="F9" s="687"/>
      <c r="G9" s="449"/>
      <c r="H9" s="449"/>
      <c r="I9" s="449"/>
      <c r="J9" s="449"/>
    </row>
    <row r="10" spans="1:10" ht="12" customHeight="1">
      <c r="A10" s="449"/>
      <c r="B10" s="450"/>
      <c r="C10" s="688" t="s">
        <v>489</v>
      </c>
      <c r="D10" s="688"/>
      <c r="E10" s="688"/>
      <c r="F10" s="688"/>
      <c r="G10" s="449"/>
      <c r="H10" s="449"/>
      <c r="I10" s="449"/>
      <c r="J10" s="449"/>
    </row>
    <row r="11" spans="1:10">
      <c r="A11" s="449"/>
      <c r="B11" s="449"/>
      <c r="F11" s="449"/>
      <c r="G11" s="449"/>
      <c r="H11" s="449"/>
      <c r="I11" s="449"/>
      <c r="J11" s="449"/>
    </row>
    <row r="12" spans="1:10" ht="12" customHeight="1">
      <c r="A12" s="710" t="s">
        <v>490</v>
      </c>
      <c r="B12" s="710"/>
      <c r="C12" s="710"/>
      <c r="D12" s="710"/>
      <c r="E12" s="710"/>
      <c r="F12" s="710"/>
      <c r="G12" s="710"/>
      <c r="H12" s="452"/>
      <c r="I12" s="453"/>
      <c r="J12" s="453"/>
    </row>
    <row r="13" spans="1:10" ht="12" customHeight="1">
      <c r="A13" s="710"/>
      <c r="B13" s="710"/>
      <c r="C13" s="710"/>
      <c r="D13" s="710"/>
      <c r="E13" s="710"/>
      <c r="F13" s="710"/>
      <c r="G13" s="710"/>
      <c r="H13" s="706" t="s">
        <v>491</v>
      </c>
      <c r="I13" s="706"/>
      <c r="J13" s="706"/>
    </row>
    <row r="14" spans="1:10" ht="12" customHeight="1">
      <c r="A14" s="710"/>
      <c r="B14" s="710"/>
      <c r="C14" s="710"/>
      <c r="D14" s="710"/>
      <c r="E14" s="710"/>
      <c r="F14" s="710"/>
      <c r="G14" s="710"/>
      <c r="I14" s="454"/>
      <c r="J14" s="454"/>
    </row>
    <row r="15" spans="1:10" ht="12" customHeight="1">
      <c r="A15" s="707" t="s">
        <v>0</v>
      </c>
      <c r="B15" s="707"/>
      <c r="C15" s="707"/>
      <c r="D15" s="707"/>
      <c r="E15" s="707"/>
      <c r="F15" s="707"/>
      <c r="G15" s="451"/>
      <c r="I15" s="454"/>
      <c r="J15" s="454"/>
    </row>
    <row r="16" spans="1:10" ht="12" customHeight="1">
      <c r="A16" s="455" t="s">
        <v>492</v>
      </c>
      <c r="B16" s="455"/>
      <c r="C16" s="456"/>
      <c r="D16" s="456"/>
      <c r="E16" s="456"/>
      <c r="F16" s="456"/>
      <c r="H16" s="457"/>
    </row>
    <row r="17" spans="1:11">
      <c r="A17" s="458" t="s">
        <v>493</v>
      </c>
      <c r="B17" s="459"/>
      <c r="C17" s="460"/>
      <c r="D17" s="460"/>
      <c r="E17" s="460"/>
      <c r="F17" s="460"/>
      <c r="G17" s="461">
        <v>90</v>
      </c>
      <c r="H17" s="461">
        <v>900</v>
      </c>
      <c r="I17" s="708">
        <v>1816</v>
      </c>
      <c r="J17" s="709"/>
    </row>
    <row r="18" spans="1:11" ht="12" customHeight="1">
      <c r="A18" s="462" t="s">
        <v>494</v>
      </c>
      <c r="B18" s="463"/>
      <c r="C18" s="464"/>
      <c r="D18" s="464"/>
      <c r="E18" s="464"/>
      <c r="F18" s="464"/>
      <c r="G18" s="465" t="s">
        <v>495</v>
      </c>
      <c r="H18" s="465" t="s">
        <v>496</v>
      </c>
      <c r="I18" s="689" t="s">
        <v>497</v>
      </c>
      <c r="J18" s="689"/>
    </row>
    <row r="19" spans="1:11" ht="12.4" thickBot="1">
      <c r="A19" s="690"/>
      <c r="B19" s="690"/>
      <c r="C19" s="690"/>
      <c r="D19" s="690"/>
      <c r="E19" s="690"/>
      <c r="F19" s="690"/>
      <c r="G19" s="690"/>
      <c r="H19" s="690"/>
      <c r="I19" s="690"/>
      <c r="J19" s="690"/>
    </row>
    <row r="20" spans="1:11">
      <c r="A20" s="683" t="s">
        <v>498</v>
      </c>
      <c r="B20" s="693" t="s">
        <v>499</v>
      </c>
      <c r="C20" s="695" t="s">
        <v>500</v>
      </c>
      <c r="D20" s="696"/>
      <c r="E20" s="696"/>
      <c r="F20" s="696"/>
      <c r="G20" s="696"/>
      <c r="H20" s="696"/>
      <c r="I20" s="696"/>
      <c r="J20" s="697"/>
    </row>
    <row r="21" spans="1:11" ht="73.900000000000006" thickBot="1">
      <c r="A21" s="684"/>
      <c r="B21" s="694"/>
      <c r="C21" s="466" t="s">
        <v>501</v>
      </c>
      <c r="D21" s="466" t="s">
        <v>502</v>
      </c>
      <c r="E21" s="466" t="s">
        <v>503</v>
      </c>
      <c r="F21" s="466" t="s">
        <v>504</v>
      </c>
      <c r="G21" s="466" t="s">
        <v>505</v>
      </c>
      <c r="H21" s="466" t="s">
        <v>506</v>
      </c>
      <c r="I21" s="466" t="s">
        <v>507</v>
      </c>
      <c r="J21" s="467" t="s">
        <v>508</v>
      </c>
    </row>
    <row r="22" spans="1:11" s="443" customFormat="1" ht="12.4" thickBot="1">
      <c r="A22" s="468">
        <v>1</v>
      </c>
      <c r="B22" s="469">
        <v>2</v>
      </c>
      <c r="C22" s="469">
        <v>3</v>
      </c>
      <c r="D22" s="470">
        <v>4</v>
      </c>
      <c r="E22" s="470">
        <v>5</v>
      </c>
      <c r="F22" s="469">
        <v>6</v>
      </c>
      <c r="G22" s="469">
        <v>7</v>
      </c>
      <c r="H22" s="470">
        <v>8</v>
      </c>
      <c r="I22" s="469">
        <v>9</v>
      </c>
      <c r="J22" s="471">
        <v>10</v>
      </c>
    </row>
    <row r="23" spans="1:11" s="443" customFormat="1" ht="13.15">
      <c r="A23" s="472" t="s">
        <v>543</v>
      </c>
      <c r="B23" s="473"/>
      <c r="C23" s="473"/>
      <c r="D23" s="473"/>
      <c r="E23" s="473" t="s">
        <v>509</v>
      </c>
      <c r="F23" s="473" t="s">
        <v>509</v>
      </c>
      <c r="G23" s="473"/>
      <c r="H23" s="473"/>
      <c r="I23" s="473"/>
      <c r="J23" s="474"/>
    </row>
    <row r="24" spans="1:11" s="443" customFormat="1" ht="13.15">
      <c r="A24" s="475" t="s">
        <v>510</v>
      </c>
      <c r="B24" s="476"/>
      <c r="C24" s="476"/>
      <c r="D24" s="476"/>
      <c r="E24" s="476" t="s">
        <v>509</v>
      </c>
      <c r="F24" s="476" t="s">
        <v>509</v>
      </c>
      <c r="G24" s="476"/>
      <c r="H24" s="476"/>
      <c r="I24" s="476"/>
      <c r="J24" s="477"/>
    </row>
    <row r="25" spans="1:11" s="443" customFormat="1" ht="13.15">
      <c r="A25" s="475" t="s">
        <v>511</v>
      </c>
      <c r="B25" s="478">
        <v>125</v>
      </c>
      <c r="C25" s="479">
        <f>2100885.92+1125120.04</f>
        <v>3226005.96</v>
      </c>
      <c r="D25" s="479">
        <f>383304.75+205546.26</f>
        <v>588851.01</v>
      </c>
      <c r="E25" s="479"/>
      <c r="F25" s="479"/>
      <c r="G25" s="479">
        <f>88430.19+262.94+110858.55</f>
        <v>199551.68</v>
      </c>
      <c r="H25" s="479">
        <f>5700.28+138.6</f>
        <v>5838.88</v>
      </c>
      <c r="I25" s="479">
        <f>448372.29+521174.53+409204.28</f>
        <v>1378751.1</v>
      </c>
      <c r="J25" s="480">
        <f>+C25+D25+G25+H25+I25</f>
        <v>5398998.6299999999</v>
      </c>
      <c r="K25" s="481"/>
    </row>
    <row r="26" spans="1:11" s="443" customFormat="1" ht="13.15">
      <c r="A26" s="475" t="s">
        <v>512</v>
      </c>
      <c r="B26" s="478"/>
      <c r="C26" s="479"/>
      <c r="D26" s="479"/>
      <c r="E26" s="479" t="s">
        <v>509</v>
      </c>
      <c r="F26" s="479" t="s">
        <v>509</v>
      </c>
      <c r="G26" s="479"/>
      <c r="H26" s="479"/>
      <c r="I26" s="479"/>
      <c r="J26" s="480"/>
      <c r="K26" s="481"/>
    </row>
    <row r="27" spans="1:11" s="443" customFormat="1" ht="13.15">
      <c r="A27" s="475" t="s">
        <v>513</v>
      </c>
      <c r="B27" s="478"/>
      <c r="C27" s="479"/>
      <c r="D27" s="479"/>
      <c r="E27" s="479"/>
      <c r="F27" s="479"/>
      <c r="G27" s="479"/>
      <c r="H27" s="479" t="s">
        <v>509</v>
      </c>
      <c r="I27" s="479"/>
      <c r="J27" s="480"/>
      <c r="K27" s="481"/>
    </row>
    <row r="28" spans="1:11" s="443" customFormat="1" ht="13.15">
      <c r="A28" s="475" t="s">
        <v>514</v>
      </c>
      <c r="B28" s="478" t="s">
        <v>509</v>
      </c>
      <c r="C28" s="479" t="s">
        <v>509</v>
      </c>
      <c r="D28" s="482" t="s">
        <v>509</v>
      </c>
      <c r="E28" s="482" t="s">
        <v>509</v>
      </c>
      <c r="F28" s="479" t="s">
        <v>509</v>
      </c>
      <c r="G28" s="479" t="s">
        <v>509</v>
      </c>
      <c r="H28" s="479" t="s">
        <v>509</v>
      </c>
      <c r="I28" s="479" t="s">
        <v>509</v>
      </c>
      <c r="J28" s="480" t="s">
        <v>509</v>
      </c>
      <c r="K28" s="481"/>
    </row>
    <row r="29" spans="1:11" s="443" customFormat="1" ht="13.15">
      <c r="A29" s="475" t="s">
        <v>515</v>
      </c>
      <c r="B29" s="478"/>
      <c r="C29" s="479"/>
      <c r="D29" s="479" t="s">
        <v>509</v>
      </c>
      <c r="E29" s="479"/>
      <c r="F29" s="479" t="s">
        <v>509</v>
      </c>
      <c r="G29" s="479"/>
      <c r="H29" s="479" t="s">
        <v>509</v>
      </c>
      <c r="I29" s="479"/>
      <c r="J29" s="480"/>
      <c r="K29" s="481"/>
    </row>
    <row r="30" spans="1:11" s="443" customFormat="1" ht="52.5">
      <c r="A30" s="475" t="s">
        <v>516</v>
      </c>
      <c r="B30" s="478"/>
      <c r="C30" s="479"/>
      <c r="D30" s="479" t="s">
        <v>509</v>
      </c>
      <c r="E30" s="479"/>
      <c r="F30" s="479" t="s">
        <v>509</v>
      </c>
      <c r="G30" s="479"/>
      <c r="H30" s="479" t="s">
        <v>509</v>
      </c>
      <c r="I30" s="479"/>
      <c r="J30" s="480"/>
      <c r="K30" s="481"/>
    </row>
    <row r="31" spans="1:11" s="443" customFormat="1" ht="13.15">
      <c r="A31" s="475" t="s">
        <v>517</v>
      </c>
      <c r="B31" s="478">
        <v>290</v>
      </c>
      <c r="C31" s="479">
        <f>3734832.67+9840.92+2793311.41</f>
        <v>6537985</v>
      </c>
      <c r="D31" s="479" t="s">
        <v>509</v>
      </c>
      <c r="E31" s="479" t="s">
        <v>509</v>
      </c>
      <c r="F31" s="479"/>
      <c r="G31" s="479">
        <f>122221.1+326.73+143438.52</f>
        <v>265986.34999999998</v>
      </c>
      <c r="H31" s="479">
        <f>1297.76</f>
        <v>1297.76</v>
      </c>
      <c r="I31" s="479">
        <f>815373.36+636624.18+505300.26</f>
        <v>1957297.8</v>
      </c>
      <c r="J31" s="480">
        <f>+C31+G31+H31+I31</f>
        <v>8762566.9100000001</v>
      </c>
      <c r="K31" s="481"/>
    </row>
    <row r="32" spans="1:11" s="443" customFormat="1" ht="13.15">
      <c r="A32" s="475" t="s">
        <v>48</v>
      </c>
      <c r="B32" s="478" t="s">
        <v>509</v>
      </c>
      <c r="C32" s="479" t="s">
        <v>509</v>
      </c>
      <c r="D32" s="482" t="s">
        <v>509</v>
      </c>
      <c r="E32" s="482" t="s">
        <v>509</v>
      </c>
      <c r="F32" s="479" t="s">
        <v>509</v>
      </c>
      <c r="G32" s="479" t="s">
        <v>509</v>
      </c>
      <c r="H32" s="479" t="s">
        <v>509</v>
      </c>
      <c r="I32" s="479" t="s">
        <v>509</v>
      </c>
      <c r="J32" s="480" t="s">
        <v>509</v>
      </c>
      <c r="K32" s="481"/>
    </row>
    <row r="33" spans="1:11" s="443" customFormat="1" ht="13.15">
      <c r="A33" s="475" t="s">
        <v>518</v>
      </c>
      <c r="B33" s="478"/>
      <c r="C33" s="479"/>
      <c r="D33" s="479" t="s">
        <v>509</v>
      </c>
      <c r="E33" s="479" t="s">
        <v>509</v>
      </c>
      <c r="F33" s="479"/>
      <c r="G33" s="479"/>
      <c r="H33" s="479"/>
      <c r="I33" s="479"/>
      <c r="J33" s="480"/>
      <c r="K33" s="481"/>
    </row>
    <row r="34" spans="1:11" s="443" customFormat="1" ht="26.25">
      <c r="A34" s="475" t="s">
        <v>519</v>
      </c>
      <c r="B34" s="478"/>
      <c r="C34" s="479"/>
      <c r="D34" s="479" t="s">
        <v>509</v>
      </c>
      <c r="E34" s="479" t="s">
        <v>509</v>
      </c>
      <c r="F34" s="479" t="s">
        <v>509</v>
      </c>
      <c r="G34" s="479"/>
      <c r="H34" s="479"/>
      <c r="I34" s="479"/>
      <c r="J34" s="480"/>
      <c r="K34" s="481"/>
    </row>
    <row r="35" spans="1:11" s="443" customFormat="1" ht="39.4">
      <c r="A35" s="475" t="s">
        <v>520</v>
      </c>
      <c r="B35" s="478"/>
      <c r="C35" s="479"/>
      <c r="D35" s="479" t="s">
        <v>509</v>
      </c>
      <c r="E35" s="479" t="s">
        <v>509</v>
      </c>
      <c r="F35" s="479"/>
      <c r="G35" s="479"/>
      <c r="H35" s="479"/>
      <c r="I35" s="479"/>
      <c r="J35" s="480"/>
      <c r="K35" s="481"/>
    </row>
    <row r="36" spans="1:11" s="443" customFormat="1" ht="13.15">
      <c r="A36" s="475" t="s">
        <v>521</v>
      </c>
      <c r="B36" s="478"/>
      <c r="C36" s="479"/>
      <c r="D36" s="479"/>
      <c r="E36" s="479" t="s">
        <v>509</v>
      </c>
      <c r="F36" s="479"/>
      <c r="G36" s="479"/>
      <c r="H36" s="479"/>
      <c r="I36" s="479"/>
      <c r="J36" s="480"/>
      <c r="K36" s="481"/>
    </row>
    <row r="37" spans="1:11" s="443" customFormat="1" ht="13.15">
      <c r="A37" s="483" t="s">
        <v>522</v>
      </c>
      <c r="B37" s="478"/>
      <c r="C37" s="479"/>
      <c r="D37" s="479" t="s">
        <v>509</v>
      </c>
      <c r="E37" s="479" t="s">
        <v>509</v>
      </c>
      <c r="F37" s="479" t="s">
        <v>509</v>
      </c>
      <c r="G37" s="479" t="s">
        <v>509</v>
      </c>
      <c r="H37" s="479" t="s">
        <v>509</v>
      </c>
      <c r="I37" s="479" t="s">
        <v>509</v>
      </c>
      <c r="J37" s="480" t="s">
        <v>509</v>
      </c>
      <c r="K37" s="481"/>
    </row>
    <row r="38" spans="1:11" s="443" customFormat="1" ht="13.15">
      <c r="A38" s="475" t="s">
        <v>523</v>
      </c>
      <c r="B38" s="478">
        <f>+B25+B31</f>
        <v>415</v>
      </c>
      <c r="C38" s="482" t="s">
        <v>509</v>
      </c>
      <c r="D38" s="479" t="s">
        <v>509</v>
      </c>
      <c r="E38" s="479" t="s">
        <v>509</v>
      </c>
      <c r="F38" s="479" t="s">
        <v>509</v>
      </c>
      <c r="G38" s="479" t="s">
        <v>509</v>
      </c>
      <c r="H38" s="479" t="s">
        <v>509</v>
      </c>
      <c r="I38" s="479" t="s">
        <v>509</v>
      </c>
      <c r="J38" s="480" t="s">
        <v>509</v>
      </c>
      <c r="K38" s="481"/>
    </row>
    <row r="39" spans="1:11" s="443" customFormat="1" ht="13.15">
      <c r="A39" s="475" t="s">
        <v>524</v>
      </c>
      <c r="B39" s="476" t="s">
        <v>509</v>
      </c>
      <c r="C39" s="479">
        <f>+C25+C31</f>
        <v>9763990.9600000009</v>
      </c>
      <c r="D39" s="479">
        <f>+D25</f>
        <v>588851.01</v>
      </c>
      <c r="E39" s="479"/>
      <c r="F39" s="479"/>
      <c r="G39" s="479">
        <f t="shared" ref="G39:J39" si="0">+G25+G31</f>
        <v>465538.02999999997</v>
      </c>
      <c r="H39" s="479">
        <f t="shared" si="0"/>
        <v>7136.64</v>
      </c>
      <c r="I39" s="479">
        <f t="shared" si="0"/>
        <v>3336048.9000000004</v>
      </c>
      <c r="J39" s="480">
        <f t="shared" si="0"/>
        <v>14161565.539999999</v>
      </c>
      <c r="K39" s="481"/>
    </row>
    <row r="40" spans="1:11" s="443" customFormat="1" ht="13.15">
      <c r="A40" s="475" t="s">
        <v>525</v>
      </c>
      <c r="B40" s="476" t="s">
        <v>509</v>
      </c>
      <c r="C40" s="479" t="s">
        <v>509</v>
      </c>
      <c r="D40" s="479" t="s">
        <v>509</v>
      </c>
      <c r="E40" s="479" t="s">
        <v>509</v>
      </c>
      <c r="F40" s="479" t="s">
        <v>509</v>
      </c>
      <c r="G40" s="479" t="s">
        <v>509</v>
      </c>
      <c r="H40" s="479" t="s">
        <v>509</v>
      </c>
      <c r="I40" s="479" t="s">
        <v>509</v>
      </c>
      <c r="J40" s="480">
        <f>15848.96+98.7</f>
        <v>15947.66</v>
      </c>
      <c r="K40" s="481"/>
    </row>
    <row r="41" spans="1:11" s="443" customFormat="1" ht="13.15">
      <c r="A41" s="483" t="s">
        <v>526</v>
      </c>
      <c r="B41" s="476" t="s">
        <v>509</v>
      </c>
      <c r="C41" s="482"/>
      <c r="D41" s="479"/>
      <c r="E41" s="479"/>
      <c r="F41" s="479"/>
      <c r="G41" s="479"/>
      <c r="H41" s="479"/>
      <c r="I41" s="479"/>
      <c r="J41" s="480">
        <f>J39+J40</f>
        <v>14177513.199999999</v>
      </c>
      <c r="K41" s="481"/>
    </row>
    <row r="42" spans="1:11" s="443" customFormat="1" ht="13.5" thickBot="1">
      <c r="A42" s="484" t="s">
        <v>527</v>
      </c>
      <c r="B42" s="485">
        <v>1</v>
      </c>
      <c r="C42" s="485" t="s">
        <v>509</v>
      </c>
      <c r="D42" s="485" t="s">
        <v>509</v>
      </c>
      <c r="E42" s="485" t="s">
        <v>509</v>
      </c>
      <c r="F42" s="485" t="s">
        <v>509</v>
      </c>
      <c r="G42" s="485" t="s">
        <v>509</v>
      </c>
      <c r="H42" s="485" t="s">
        <v>509</v>
      </c>
      <c r="I42" s="485" t="s">
        <v>509</v>
      </c>
      <c r="J42" s="486" t="s">
        <v>509</v>
      </c>
    </row>
    <row r="43" spans="1:11" s="443" customFormat="1">
      <c r="A43" s="443" t="s">
        <v>544</v>
      </c>
    </row>
    <row r="44" spans="1:11" s="443" customFormat="1">
      <c r="A44" s="698" t="s">
        <v>528</v>
      </c>
      <c r="B44" s="698"/>
      <c r="C44" s="698"/>
      <c r="D44" s="698"/>
      <c r="E44" s="698"/>
      <c r="F44" s="698"/>
      <c r="G44" s="698"/>
      <c r="H44" s="698"/>
      <c r="I44" s="698"/>
      <c r="J44" s="698"/>
    </row>
    <row r="45" spans="1:11" s="443" customFormat="1" ht="13.5">
      <c r="A45" s="698" t="s">
        <v>529</v>
      </c>
      <c r="B45" s="699"/>
      <c r="C45" s="699"/>
      <c r="D45" s="699"/>
      <c r="E45" s="699"/>
      <c r="F45" s="699"/>
      <c r="G45" s="699"/>
      <c r="H45" s="699"/>
      <c r="I45" s="699"/>
      <c r="J45" s="699"/>
    </row>
    <row r="46" spans="1:11" s="443" customFormat="1" ht="13.5">
      <c r="A46" s="698" t="s">
        <v>530</v>
      </c>
      <c r="B46" s="699"/>
      <c r="C46" s="699"/>
      <c r="D46" s="699"/>
      <c r="E46" s="699"/>
      <c r="F46" s="699"/>
      <c r="G46" s="699"/>
      <c r="H46" s="699"/>
      <c r="I46" s="699"/>
      <c r="J46" s="699"/>
    </row>
    <row r="47" spans="1:11" s="443" customFormat="1" ht="13.5">
      <c r="A47" s="698" t="s">
        <v>531</v>
      </c>
      <c r="B47" s="699"/>
      <c r="C47" s="699"/>
      <c r="D47" s="699"/>
      <c r="E47" s="699"/>
      <c r="F47" s="699"/>
      <c r="G47" s="699"/>
      <c r="H47" s="699"/>
      <c r="I47" s="699"/>
      <c r="J47" s="699"/>
    </row>
    <row r="48" spans="1:11" s="443" customFormat="1">
      <c r="A48" s="698" t="s">
        <v>532</v>
      </c>
      <c r="B48" s="698"/>
      <c r="C48" s="698"/>
      <c r="D48" s="698"/>
      <c r="E48" s="698"/>
      <c r="F48" s="698"/>
      <c r="G48" s="698"/>
      <c r="H48" s="698"/>
      <c r="I48" s="698"/>
      <c r="J48" s="698"/>
    </row>
    <row r="49" spans="1:10" s="443" customFormat="1" ht="13.5">
      <c r="A49" s="698" t="s">
        <v>533</v>
      </c>
      <c r="B49" s="699"/>
      <c r="C49" s="699"/>
      <c r="D49" s="699"/>
      <c r="E49" s="699"/>
      <c r="F49" s="699"/>
      <c r="G49" s="699"/>
      <c r="H49" s="699"/>
      <c r="I49" s="699"/>
      <c r="J49" s="699"/>
    </row>
    <row r="50" spans="1:10" s="443" customFormat="1" ht="24.6" customHeight="1">
      <c r="A50" s="698" t="s">
        <v>534</v>
      </c>
      <c r="B50" s="699"/>
      <c r="C50" s="699"/>
      <c r="D50" s="699"/>
      <c r="E50" s="699"/>
      <c r="F50" s="699"/>
      <c r="G50" s="699"/>
      <c r="H50" s="699"/>
      <c r="I50" s="699"/>
      <c r="J50" s="699"/>
    </row>
    <row r="51" spans="1:10" s="443" customFormat="1" ht="13.5">
      <c r="A51" s="698" t="s">
        <v>535</v>
      </c>
      <c r="B51" s="699"/>
      <c r="C51" s="699"/>
      <c r="D51" s="699"/>
      <c r="E51" s="699"/>
      <c r="F51" s="699"/>
      <c r="G51" s="699"/>
      <c r="H51" s="699"/>
      <c r="I51" s="699"/>
      <c r="J51" s="699"/>
    </row>
    <row r="52" spans="1:10" s="443" customFormat="1" ht="13.5">
      <c r="A52" s="698" t="s">
        <v>536</v>
      </c>
      <c r="B52" s="699"/>
      <c r="C52" s="699"/>
      <c r="D52" s="699"/>
      <c r="E52" s="699"/>
      <c r="F52" s="699"/>
      <c r="G52" s="699"/>
      <c r="H52" s="699"/>
      <c r="I52" s="699"/>
      <c r="J52" s="699"/>
    </row>
    <row r="53" spans="1:10">
      <c r="A53" s="711"/>
      <c r="B53" s="711"/>
      <c r="C53" s="711"/>
      <c r="D53" s="711"/>
      <c r="E53" s="711"/>
      <c r="F53" s="711"/>
      <c r="G53" s="711"/>
      <c r="H53" s="711"/>
      <c r="I53" s="711"/>
      <c r="J53" s="711"/>
    </row>
    <row r="54" spans="1:10" ht="14" customHeight="1">
      <c r="A54" s="691" t="s">
        <v>88</v>
      </c>
      <c r="B54" s="691"/>
      <c r="C54" s="137"/>
      <c r="D54" s="138"/>
      <c r="E54" s="685" t="s">
        <v>89</v>
      </c>
      <c r="F54" s="685"/>
      <c r="G54" s="685"/>
      <c r="H54" s="685"/>
      <c r="I54" s="685"/>
      <c r="J54" s="685"/>
    </row>
    <row r="55" spans="1:10" ht="27.6" customHeight="1">
      <c r="A55" s="139"/>
      <c r="B55" s="140"/>
      <c r="C55" s="141" t="s">
        <v>90</v>
      </c>
      <c r="D55" s="140"/>
      <c r="E55" s="686" t="s">
        <v>480</v>
      </c>
      <c r="F55" s="686"/>
      <c r="G55" s="686"/>
      <c r="H55" s="686"/>
      <c r="I55" s="686"/>
      <c r="J55" s="686"/>
    </row>
    <row r="56" spans="1:10">
      <c r="A56" s="692"/>
      <c r="B56" s="692"/>
      <c r="C56" s="140"/>
      <c r="D56" s="140"/>
      <c r="E56" s="140"/>
      <c r="F56" s="140"/>
      <c r="G56" s="140"/>
      <c r="H56" s="140"/>
      <c r="I56" s="140"/>
      <c r="J56" s="140"/>
    </row>
    <row r="57" spans="1:10" ht="14.25">
      <c r="A57" s="142" t="s">
        <v>92</v>
      </c>
      <c r="B57" s="143"/>
      <c r="C57" s="144"/>
      <c r="D57" s="145"/>
      <c r="E57" s="685" t="s">
        <v>93</v>
      </c>
      <c r="F57" s="685"/>
      <c r="G57" s="685"/>
      <c r="H57" s="685"/>
      <c r="I57" s="685"/>
      <c r="J57" s="685"/>
    </row>
    <row r="58" spans="1:10">
      <c r="A58" s="139"/>
      <c r="B58" s="140"/>
      <c r="C58" s="141" t="s">
        <v>90</v>
      </c>
      <c r="D58" s="140"/>
      <c r="E58" s="686" t="s">
        <v>480</v>
      </c>
      <c r="F58" s="686"/>
      <c r="G58" s="686"/>
      <c r="H58" s="686"/>
      <c r="I58" s="686"/>
      <c r="J58" s="686"/>
    </row>
  </sheetData>
  <mergeCells count="34">
    <mergeCell ref="A52:J52"/>
    <mergeCell ref="A53:J53"/>
    <mergeCell ref="A47:J47"/>
    <mergeCell ref="A48:J48"/>
    <mergeCell ref="A49:J49"/>
    <mergeCell ref="A50:J50"/>
    <mergeCell ref="A51:J51"/>
    <mergeCell ref="C7:F7"/>
    <mergeCell ref="C8:F8"/>
    <mergeCell ref="H13:J13"/>
    <mergeCell ref="A15:F15"/>
    <mergeCell ref="I17:J17"/>
    <mergeCell ref="A12:G14"/>
    <mergeCell ref="G1:J1"/>
    <mergeCell ref="B2:G2"/>
    <mergeCell ref="B3:G3"/>
    <mergeCell ref="A5:J5"/>
    <mergeCell ref="A6:J6"/>
    <mergeCell ref="A20:A21"/>
    <mergeCell ref="E57:J57"/>
    <mergeCell ref="E58:J58"/>
    <mergeCell ref="C9:F9"/>
    <mergeCell ref="C10:F10"/>
    <mergeCell ref="I18:J18"/>
    <mergeCell ref="A19:J19"/>
    <mergeCell ref="A54:B54"/>
    <mergeCell ref="E54:J54"/>
    <mergeCell ref="E55:J55"/>
    <mergeCell ref="A56:B56"/>
    <mergeCell ref="B20:B21"/>
    <mergeCell ref="C20:J20"/>
    <mergeCell ref="A44:J44"/>
    <mergeCell ref="A45:J45"/>
    <mergeCell ref="A46:J46"/>
  </mergeCells>
  <pageMargins left="0.70866141732283472" right="0.70866141732283472" top="0.74803149606299213" bottom="0.74803149606299213" header="0.31496062992125984" footer="0.31496062992125984"/>
  <pageSetup paperSize="9" scale="50" firstPageNumber="21" fitToHeight="0" orientation="portrait" useFirstPageNumber="1" r:id="rId1"/>
  <headerFooter>
    <oddHeader>&amp;C&amp;P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2FD37-4A56-4F9A-8552-F6C2F2FEE041}">
  <sheetPr>
    <pageSetUpPr fitToPage="1"/>
  </sheetPr>
  <dimension ref="B1:K19"/>
  <sheetViews>
    <sheetView zoomScaleNormal="100" workbookViewId="0">
      <selection activeCell="F16" sqref="F16"/>
    </sheetView>
  </sheetViews>
  <sheetFormatPr defaultRowHeight="15.75"/>
  <cols>
    <col min="1" max="1" width="8.86328125" style="160"/>
    <col min="2" max="2" width="4.46484375" style="160" customWidth="1"/>
    <col min="3" max="3" width="36.1328125" style="160" customWidth="1"/>
    <col min="4" max="4" width="23.6640625" style="160" customWidth="1"/>
    <col min="5" max="5" width="27.33203125" style="160" customWidth="1"/>
    <col min="6" max="6" width="28.33203125" style="160" customWidth="1"/>
    <col min="7" max="7" width="8.86328125" style="160"/>
    <col min="8" max="8" width="20.33203125" style="160" customWidth="1"/>
    <col min="9" max="9" width="10.33203125" style="160" bestFit="1" customWidth="1"/>
    <col min="10" max="257" width="8.86328125" style="160"/>
    <col min="258" max="258" width="4.46484375" style="160" customWidth="1"/>
    <col min="259" max="259" width="36.1328125" style="160" customWidth="1"/>
    <col min="260" max="260" width="23.6640625" style="160" customWidth="1"/>
    <col min="261" max="261" width="27.33203125" style="160" customWidth="1"/>
    <col min="262" max="262" width="28.33203125" style="160" customWidth="1"/>
    <col min="263" max="264" width="8.86328125" style="160"/>
    <col min="265" max="265" width="10.33203125" style="160" bestFit="1" customWidth="1"/>
    <col min="266" max="513" width="8.86328125" style="160"/>
    <col min="514" max="514" width="4.46484375" style="160" customWidth="1"/>
    <col min="515" max="515" width="36.1328125" style="160" customWidth="1"/>
    <col min="516" max="516" width="23.6640625" style="160" customWidth="1"/>
    <col min="517" max="517" width="27.33203125" style="160" customWidth="1"/>
    <col min="518" max="518" width="28.33203125" style="160" customWidth="1"/>
    <col min="519" max="520" width="8.86328125" style="160"/>
    <col min="521" max="521" width="10.33203125" style="160" bestFit="1" customWidth="1"/>
    <col min="522" max="769" width="8.86328125" style="160"/>
    <col min="770" max="770" width="4.46484375" style="160" customWidth="1"/>
    <col min="771" max="771" width="36.1328125" style="160" customWidth="1"/>
    <col min="772" max="772" width="23.6640625" style="160" customWidth="1"/>
    <col min="773" max="773" width="27.33203125" style="160" customWidth="1"/>
    <col min="774" max="774" width="28.33203125" style="160" customWidth="1"/>
    <col min="775" max="776" width="8.86328125" style="160"/>
    <col min="777" max="777" width="10.33203125" style="160" bestFit="1" customWidth="1"/>
    <col min="778" max="1025" width="8.86328125" style="160"/>
    <col min="1026" max="1026" width="4.46484375" style="160" customWidth="1"/>
    <col min="1027" max="1027" width="36.1328125" style="160" customWidth="1"/>
    <col min="1028" max="1028" width="23.6640625" style="160" customWidth="1"/>
    <col min="1029" max="1029" width="27.33203125" style="160" customWidth="1"/>
    <col min="1030" max="1030" width="28.33203125" style="160" customWidth="1"/>
    <col min="1031" max="1032" width="8.86328125" style="160"/>
    <col min="1033" max="1033" width="10.33203125" style="160" bestFit="1" customWidth="1"/>
    <col min="1034" max="1281" width="8.86328125" style="160"/>
    <col min="1282" max="1282" width="4.46484375" style="160" customWidth="1"/>
    <col min="1283" max="1283" width="36.1328125" style="160" customWidth="1"/>
    <col min="1284" max="1284" width="23.6640625" style="160" customWidth="1"/>
    <col min="1285" max="1285" width="27.33203125" style="160" customWidth="1"/>
    <col min="1286" max="1286" width="28.33203125" style="160" customWidth="1"/>
    <col min="1287" max="1288" width="8.86328125" style="160"/>
    <col min="1289" max="1289" width="10.33203125" style="160" bestFit="1" customWidth="1"/>
    <col min="1290" max="1537" width="8.86328125" style="160"/>
    <col min="1538" max="1538" width="4.46484375" style="160" customWidth="1"/>
    <col min="1539" max="1539" width="36.1328125" style="160" customWidth="1"/>
    <col min="1540" max="1540" width="23.6640625" style="160" customWidth="1"/>
    <col min="1541" max="1541" width="27.33203125" style="160" customWidth="1"/>
    <col min="1542" max="1542" width="28.33203125" style="160" customWidth="1"/>
    <col min="1543" max="1544" width="8.86328125" style="160"/>
    <col min="1545" max="1545" width="10.33203125" style="160" bestFit="1" customWidth="1"/>
    <col min="1546" max="1793" width="8.86328125" style="160"/>
    <col min="1794" max="1794" width="4.46484375" style="160" customWidth="1"/>
    <col min="1795" max="1795" width="36.1328125" style="160" customWidth="1"/>
    <col min="1796" max="1796" width="23.6640625" style="160" customWidth="1"/>
    <col min="1797" max="1797" width="27.33203125" style="160" customWidth="1"/>
    <col min="1798" max="1798" width="28.33203125" style="160" customWidth="1"/>
    <col min="1799" max="1800" width="8.86328125" style="160"/>
    <col min="1801" max="1801" width="10.33203125" style="160" bestFit="1" customWidth="1"/>
    <col min="1802" max="2049" width="8.86328125" style="160"/>
    <col min="2050" max="2050" width="4.46484375" style="160" customWidth="1"/>
    <col min="2051" max="2051" width="36.1328125" style="160" customWidth="1"/>
    <col min="2052" max="2052" width="23.6640625" style="160" customWidth="1"/>
    <col min="2053" max="2053" width="27.33203125" style="160" customWidth="1"/>
    <col min="2054" max="2054" width="28.33203125" style="160" customWidth="1"/>
    <col min="2055" max="2056" width="8.86328125" style="160"/>
    <col min="2057" max="2057" width="10.33203125" style="160" bestFit="1" customWidth="1"/>
    <col min="2058" max="2305" width="8.86328125" style="160"/>
    <col min="2306" max="2306" width="4.46484375" style="160" customWidth="1"/>
    <col min="2307" max="2307" width="36.1328125" style="160" customWidth="1"/>
    <col min="2308" max="2308" width="23.6640625" style="160" customWidth="1"/>
    <col min="2309" max="2309" width="27.33203125" style="160" customWidth="1"/>
    <col min="2310" max="2310" width="28.33203125" style="160" customWidth="1"/>
    <col min="2311" max="2312" width="8.86328125" style="160"/>
    <col min="2313" max="2313" width="10.33203125" style="160" bestFit="1" customWidth="1"/>
    <col min="2314" max="2561" width="8.86328125" style="160"/>
    <col min="2562" max="2562" width="4.46484375" style="160" customWidth="1"/>
    <col min="2563" max="2563" width="36.1328125" style="160" customWidth="1"/>
    <col min="2564" max="2564" width="23.6640625" style="160" customWidth="1"/>
    <col min="2565" max="2565" width="27.33203125" style="160" customWidth="1"/>
    <col min="2566" max="2566" width="28.33203125" style="160" customWidth="1"/>
    <col min="2567" max="2568" width="8.86328125" style="160"/>
    <col min="2569" max="2569" width="10.33203125" style="160" bestFit="1" customWidth="1"/>
    <col min="2570" max="2817" width="8.86328125" style="160"/>
    <col min="2818" max="2818" width="4.46484375" style="160" customWidth="1"/>
    <col min="2819" max="2819" width="36.1328125" style="160" customWidth="1"/>
    <col min="2820" max="2820" width="23.6640625" style="160" customWidth="1"/>
    <col min="2821" max="2821" width="27.33203125" style="160" customWidth="1"/>
    <col min="2822" max="2822" width="28.33203125" style="160" customWidth="1"/>
    <col min="2823" max="2824" width="8.86328125" style="160"/>
    <col min="2825" max="2825" width="10.33203125" style="160" bestFit="1" customWidth="1"/>
    <col min="2826" max="3073" width="8.86328125" style="160"/>
    <col min="3074" max="3074" width="4.46484375" style="160" customWidth="1"/>
    <col min="3075" max="3075" width="36.1328125" style="160" customWidth="1"/>
    <col min="3076" max="3076" width="23.6640625" style="160" customWidth="1"/>
    <col min="3077" max="3077" width="27.33203125" style="160" customWidth="1"/>
    <col min="3078" max="3078" width="28.33203125" style="160" customWidth="1"/>
    <col min="3079" max="3080" width="8.86328125" style="160"/>
    <col min="3081" max="3081" width="10.33203125" style="160" bestFit="1" customWidth="1"/>
    <col min="3082" max="3329" width="8.86328125" style="160"/>
    <col min="3330" max="3330" width="4.46484375" style="160" customWidth="1"/>
    <col min="3331" max="3331" width="36.1328125" style="160" customWidth="1"/>
    <col min="3332" max="3332" width="23.6640625" style="160" customWidth="1"/>
    <col min="3333" max="3333" width="27.33203125" style="160" customWidth="1"/>
    <col min="3334" max="3334" width="28.33203125" style="160" customWidth="1"/>
    <col min="3335" max="3336" width="8.86328125" style="160"/>
    <col min="3337" max="3337" width="10.33203125" style="160" bestFit="1" customWidth="1"/>
    <col min="3338" max="3585" width="8.86328125" style="160"/>
    <col min="3586" max="3586" width="4.46484375" style="160" customWidth="1"/>
    <col min="3587" max="3587" width="36.1328125" style="160" customWidth="1"/>
    <col min="3588" max="3588" width="23.6640625" style="160" customWidth="1"/>
    <col min="3589" max="3589" width="27.33203125" style="160" customWidth="1"/>
    <col min="3590" max="3590" width="28.33203125" style="160" customWidth="1"/>
    <col min="3591" max="3592" width="8.86328125" style="160"/>
    <col min="3593" max="3593" width="10.33203125" style="160" bestFit="1" customWidth="1"/>
    <col min="3594" max="3841" width="8.86328125" style="160"/>
    <col min="3842" max="3842" width="4.46484375" style="160" customWidth="1"/>
    <col min="3843" max="3843" width="36.1328125" style="160" customWidth="1"/>
    <col min="3844" max="3844" width="23.6640625" style="160" customWidth="1"/>
    <col min="3845" max="3845" width="27.33203125" style="160" customWidth="1"/>
    <col min="3846" max="3846" width="28.33203125" style="160" customWidth="1"/>
    <col min="3847" max="3848" width="8.86328125" style="160"/>
    <col min="3849" max="3849" width="10.33203125" style="160" bestFit="1" customWidth="1"/>
    <col min="3850" max="4097" width="8.86328125" style="160"/>
    <col min="4098" max="4098" width="4.46484375" style="160" customWidth="1"/>
    <col min="4099" max="4099" width="36.1328125" style="160" customWidth="1"/>
    <col min="4100" max="4100" width="23.6640625" style="160" customWidth="1"/>
    <col min="4101" max="4101" width="27.33203125" style="160" customWidth="1"/>
    <col min="4102" max="4102" width="28.33203125" style="160" customWidth="1"/>
    <col min="4103" max="4104" width="8.86328125" style="160"/>
    <col min="4105" max="4105" width="10.33203125" style="160" bestFit="1" customWidth="1"/>
    <col min="4106" max="4353" width="8.86328125" style="160"/>
    <col min="4354" max="4354" width="4.46484375" style="160" customWidth="1"/>
    <col min="4355" max="4355" width="36.1328125" style="160" customWidth="1"/>
    <col min="4356" max="4356" width="23.6640625" style="160" customWidth="1"/>
    <col min="4357" max="4357" width="27.33203125" style="160" customWidth="1"/>
    <col min="4358" max="4358" width="28.33203125" style="160" customWidth="1"/>
    <col min="4359" max="4360" width="8.86328125" style="160"/>
    <col min="4361" max="4361" width="10.33203125" style="160" bestFit="1" customWidth="1"/>
    <col min="4362" max="4609" width="8.86328125" style="160"/>
    <col min="4610" max="4610" width="4.46484375" style="160" customWidth="1"/>
    <col min="4611" max="4611" width="36.1328125" style="160" customWidth="1"/>
    <col min="4612" max="4612" width="23.6640625" style="160" customWidth="1"/>
    <col min="4613" max="4613" width="27.33203125" style="160" customWidth="1"/>
    <col min="4614" max="4614" width="28.33203125" style="160" customWidth="1"/>
    <col min="4615" max="4616" width="8.86328125" style="160"/>
    <col min="4617" max="4617" width="10.33203125" style="160" bestFit="1" customWidth="1"/>
    <col min="4618" max="4865" width="8.86328125" style="160"/>
    <col min="4866" max="4866" width="4.46484375" style="160" customWidth="1"/>
    <col min="4867" max="4867" width="36.1328125" style="160" customWidth="1"/>
    <col min="4868" max="4868" width="23.6640625" style="160" customWidth="1"/>
    <col min="4869" max="4869" width="27.33203125" style="160" customWidth="1"/>
    <col min="4870" max="4870" width="28.33203125" style="160" customWidth="1"/>
    <col min="4871" max="4872" width="8.86328125" style="160"/>
    <col min="4873" max="4873" width="10.33203125" style="160" bestFit="1" customWidth="1"/>
    <col min="4874" max="5121" width="8.86328125" style="160"/>
    <col min="5122" max="5122" width="4.46484375" style="160" customWidth="1"/>
    <col min="5123" max="5123" width="36.1328125" style="160" customWidth="1"/>
    <col min="5124" max="5124" width="23.6640625" style="160" customWidth="1"/>
    <col min="5125" max="5125" width="27.33203125" style="160" customWidth="1"/>
    <col min="5126" max="5126" width="28.33203125" style="160" customWidth="1"/>
    <col min="5127" max="5128" width="8.86328125" style="160"/>
    <col min="5129" max="5129" width="10.33203125" style="160" bestFit="1" customWidth="1"/>
    <col min="5130" max="5377" width="8.86328125" style="160"/>
    <col min="5378" max="5378" width="4.46484375" style="160" customWidth="1"/>
    <col min="5379" max="5379" width="36.1328125" style="160" customWidth="1"/>
    <col min="5380" max="5380" width="23.6640625" style="160" customWidth="1"/>
    <col min="5381" max="5381" width="27.33203125" style="160" customWidth="1"/>
    <col min="5382" max="5382" width="28.33203125" style="160" customWidth="1"/>
    <col min="5383" max="5384" width="8.86328125" style="160"/>
    <col min="5385" max="5385" width="10.33203125" style="160" bestFit="1" customWidth="1"/>
    <col min="5386" max="5633" width="8.86328125" style="160"/>
    <col min="5634" max="5634" width="4.46484375" style="160" customWidth="1"/>
    <col min="5635" max="5635" width="36.1328125" style="160" customWidth="1"/>
    <col min="5636" max="5636" width="23.6640625" style="160" customWidth="1"/>
    <col min="5637" max="5637" width="27.33203125" style="160" customWidth="1"/>
    <col min="5638" max="5638" width="28.33203125" style="160" customWidth="1"/>
    <col min="5639" max="5640" width="8.86328125" style="160"/>
    <col min="5641" max="5641" width="10.33203125" style="160" bestFit="1" customWidth="1"/>
    <col min="5642" max="5889" width="8.86328125" style="160"/>
    <col min="5890" max="5890" width="4.46484375" style="160" customWidth="1"/>
    <col min="5891" max="5891" width="36.1328125" style="160" customWidth="1"/>
    <col min="5892" max="5892" width="23.6640625" style="160" customWidth="1"/>
    <col min="5893" max="5893" width="27.33203125" style="160" customWidth="1"/>
    <col min="5894" max="5894" width="28.33203125" style="160" customWidth="1"/>
    <col min="5895" max="5896" width="8.86328125" style="160"/>
    <col min="5897" max="5897" width="10.33203125" style="160" bestFit="1" customWidth="1"/>
    <col min="5898" max="6145" width="8.86328125" style="160"/>
    <col min="6146" max="6146" width="4.46484375" style="160" customWidth="1"/>
    <col min="6147" max="6147" width="36.1328125" style="160" customWidth="1"/>
    <col min="6148" max="6148" width="23.6640625" style="160" customWidth="1"/>
    <col min="6149" max="6149" width="27.33203125" style="160" customWidth="1"/>
    <col min="6150" max="6150" width="28.33203125" style="160" customWidth="1"/>
    <col min="6151" max="6152" width="8.86328125" style="160"/>
    <col min="6153" max="6153" width="10.33203125" style="160" bestFit="1" customWidth="1"/>
    <col min="6154" max="6401" width="8.86328125" style="160"/>
    <col min="6402" max="6402" width="4.46484375" style="160" customWidth="1"/>
    <col min="6403" max="6403" width="36.1328125" style="160" customWidth="1"/>
    <col min="6404" max="6404" width="23.6640625" style="160" customWidth="1"/>
    <col min="6405" max="6405" width="27.33203125" style="160" customWidth="1"/>
    <col min="6406" max="6406" width="28.33203125" style="160" customWidth="1"/>
    <col min="6407" max="6408" width="8.86328125" style="160"/>
    <col min="6409" max="6409" width="10.33203125" style="160" bestFit="1" customWidth="1"/>
    <col min="6410" max="6657" width="8.86328125" style="160"/>
    <col min="6658" max="6658" width="4.46484375" style="160" customWidth="1"/>
    <col min="6659" max="6659" width="36.1328125" style="160" customWidth="1"/>
    <col min="6660" max="6660" width="23.6640625" style="160" customWidth="1"/>
    <col min="6661" max="6661" width="27.33203125" style="160" customWidth="1"/>
    <col min="6662" max="6662" width="28.33203125" style="160" customWidth="1"/>
    <col min="6663" max="6664" width="8.86328125" style="160"/>
    <col min="6665" max="6665" width="10.33203125" style="160" bestFit="1" customWidth="1"/>
    <col min="6666" max="6913" width="8.86328125" style="160"/>
    <col min="6914" max="6914" width="4.46484375" style="160" customWidth="1"/>
    <col min="6915" max="6915" width="36.1328125" style="160" customWidth="1"/>
    <col min="6916" max="6916" width="23.6640625" style="160" customWidth="1"/>
    <col min="6917" max="6917" width="27.33203125" style="160" customWidth="1"/>
    <col min="6918" max="6918" width="28.33203125" style="160" customWidth="1"/>
    <col min="6919" max="6920" width="8.86328125" style="160"/>
    <col min="6921" max="6921" width="10.33203125" style="160" bestFit="1" customWidth="1"/>
    <col min="6922" max="7169" width="8.86328125" style="160"/>
    <col min="7170" max="7170" width="4.46484375" style="160" customWidth="1"/>
    <col min="7171" max="7171" width="36.1328125" style="160" customWidth="1"/>
    <col min="7172" max="7172" width="23.6640625" style="160" customWidth="1"/>
    <col min="7173" max="7173" width="27.33203125" style="160" customWidth="1"/>
    <col min="7174" max="7174" width="28.33203125" style="160" customWidth="1"/>
    <col min="7175" max="7176" width="8.86328125" style="160"/>
    <col min="7177" max="7177" width="10.33203125" style="160" bestFit="1" customWidth="1"/>
    <col min="7178" max="7425" width="8.86328125" style="160"/>
    <col min="7426" max="7426" width="4.46484375" style="160" customWidth="1"/>
    <col min="7427" max="7427" width="36.1328125" style="160" customWidth="1"/>
    <col min="7428" max="7428" width="23.6640625" style="160" customWidth="1"/>
    <col min="7429" max="7429" width="27.33203125" style="160" customWidth="1"/>
    <col min="7430" max="7430" width="28.33203125" style="160" customWidth="1"/>
    <col min="7431" max="7432" width="8.86328125" style="160"/>
    <col min="7433" max="7433" width="10.33203125" style="160" bestFit="1" customWidth="1"/>
    <col min="7434" max="7681" width="8.86328125" style="160"/>
    <col min="7682" max="7682" width="4.46484375" style="160" customWidth="1"/>
    <col min="7683" max="7683" width="36.1328125" style="160" customWidth="1"/>
    <col min="7684" max="7684" width="23.6640625" style="160" customWidth="1"/>
    <col min="7685" max="7685" width="27.33203125" style="160" customWidth="1"/>
    <col min="7686" max="7686" width="28.33203125" style="160" customWidth="1"/>
    <col min="7687" max="7688" width="8.86328125" style="160"/>
    <col min="7689" max="7689" width="10.33203125" style="160" bestFit="1" customWidth="1"/>
    <col min="7690" max="7937" width="8.86328125" style="160"/>
    <col min="7938" max="7938" width="4.46484375" style="160" customWidth="1"/>
    <col min="7939" max="7939" width="36.1328125" style="160" customWidth="1"/>
    <col min="7940" max="7940" width="23.6640625" style="160" customWidth="1"/>
    <col min="7941" max="7941" width="27.33203125" style="160" customWidth="1"/>
    <col min="7942" max="7942" width="28.33203125" style="160" customWidth="1"/>
    <col min="7943" max="7944" width="8.86328125" style="160"/>
    <col min="7945" max="7945" width="10.33203125" style="160" bestFit="1" customWidth="1"/>
    <col min="7946" max="8193" width="8.86328125" style="160"/>
    <col min="8194" max="8194" width="4.46484375" style="160" customWidth="1"/>
    <col min="8195" max="8195" width="36.1328125" style="160" customWidth="1"/>
    <col min="8196" max="8196" width="23.6640625" style="160" customWidth="1"/>
    <col min="8197" max="8197" width="27.33203125" style="160" customWidth="1"/>
    <col min="8198" max="8198" width="28.33203125" style="160" customWidth="1"/>
    <col min="8199" max="8200" width="8.86328125" style="160"/>
    <col min="8201" max="8201" width="10.33203125" style="160" bestFit="1" customWidth="1"/>
    <col min="8202" max="8449" width="8.86328125" style="160"/>
    <col min="8450" max="8450" width="4.46484375" style="160" customWidth="1"/>
    <col min="8451" max="8451" width="36.1328125" style="160" customWidth="1"/>
    <col min="8452" max="8452" width="23.6640625" style="160" customWidth="1"/>
    <col min="8453" max="8453" width="27.33203125" style="160" customWidth="1"/>
    <col min="8454" max="8454" width="28.33203125" style="160" customWidth="1"/>
    <col min="8455" max="8456" width="8.86328125" style="160"/>
    <col min="8457" max="8457" width="10.33203125" style="160" bestFit="1" customWidth="1"/>
    <col min="8458" max="8705" width="8.86328125" style="160"/>
    <col min="8706" max="8706" width="4.46484375" style="160" customWidth="1"/>
    <col min="8707" max="8707" width="36.1328125" style="160" customWidth="1"/>
    <col min="8708" max="8708" width="23.6640625" style="160" customWidth="1"/>
    <col min="8709" max="8709" width="27.33203125" style="160" customWidth="1"/>
    <col min="8710" max="8710" width="28.33203125" style="160" customWidth="1"/>
    <col min="8711" max="8712" width="8.86328125" style="160"/>
    <col min="8713" max="8713" width="10.33203125" style="160" bestFit="1" customWidth="1"/>
    <col min="8714" max="8961" width="8.86328125" style="160"/>
    <col min="8962" max="8962" width="4.46484375" style="160" customWidth="1"/>
    <col min="8963" max="8963" width="36.1328125" style="160" customWidth="1"/>
    <col min="8964" max="8964" width="23.6640625" style="160" customWidth="1"/>
    <col min="8965" max="8965" width="27.33203125" style="160" customWidth="1"/>
    <col min="8966" max="8966" width="28.33203125" style="160" customWidth="1"/>
    <col min="8967" max="8968" width="8.86328125" style="160"/>
    <col min="8969" max="8969" width="10.33203125" style="160" bestFit="1" customWidth="1"/>
    <col min="8970" max="9217" width="8.86328125" style="160"/>
    <col min="9218" max="9218" width="4.46484375" style="160" customWidth="1"/>
    <col min="9219" max="9219" width="36.1328125" style="160" customWidth="1"/>
    <col min="9220" max="9220" width="23.6640625" style="160" customWidth="1"/>
    <col min="9221" max="9221" width="27.33203125" style="160" customWidth="1"/>
    <col min="9222" max="9222" width="28.33203125" style="160" customWidth="1"/>
    <col min="9223" max="9224" width="8.86328125" style="160"/>
    <col min="9225" max="9225" width="10.33203125" style="160" bestFit="1" customWidth="1"/>
    <col min="9226" max="9473" width="8.86328125" style="160"/>
    <col min="9474" max="9474" width="4.46484375" style="160" customWidth="1"/>
    <col min="9475" max="9475" width="36.1328125" style="160" customWidth="1"/>
    <col min="9476" max="9476" width="23.6640625" style="160" customWidth="1"/>
    <col min="9477" max="9477" width="27.33203125" style="160" customWidth="1"/>
    <col min="9478" max="9478" width="28.33203125" style="160" customWidth="1"/>
    <col min="9479" max="9480" width="8.86328125" style="160"/>
    <col min="9481" max="9481" width="10.33203125" style="160" bestFit="1" customWidth="1"/>
    <col min="9482" max="9729" width="8.86328125" style="160"/>
    <col min="9730" max="9730" width="4.46484375" style="160" customWidth="1"/>
    <col min="9731" max="9731" width="36.1328125" style="160" customWidth="1"/>
    <col min="9732" max="9732" width="23.6640625" style="160" customWidth="1"/>
    <col min="9733" max="9733" width="27.33203125" style="160" customWidth="1"/>
    <col min="9734" max="9734" width="28.33203125" style="160" customWidth="1"/>
    <col min="9735" max="9736" width="8.86328125" style="160"/>
    <col min="9737" max="9737" width="10.33203125" style="160" bestFit="1" customWidth="1"/>
    <col min="9738" max="9985" width="8.86328125" style="160"/>
    <col min="9986" max="9986" width="4.46484375" style="160" customWidth="1"/>
    <col min="9987" max="9987" width="36.1328125" style="160" customWidth="1"/>
    <col min="9988" max="9988" width="23.6640625" style="160" customWidth="1"/>
    <col min="9989" max="9989" width="27.33203125" style="160" customWidth="1"/>
    <col min="9990" max="9990" width="28.33203125" style="160" customWidth="1"/>
    <col min="9991" max="9992" width="8.86328125" style="160"/>
    <col min="9993" max="9993" width="10.33203125" style="160" bestFit="1" customWidth="1"/>
    <col min="9994" max="10241" width="8.86328125" style="160"/>
    <col min="10242" max="10242" width="4.46484375" style="160" customWidth="1"/>
    <col min="10243" max="10243" width="36.1328125" style="160" customWidth="1"/>
    <col min="10244" max="10244" width="23.6640625" style="160" customWidth="1"/>
    <col min="10245" max="10245" width="27.33203125" style="160" customWidth="1"/>
    <col min="10246" max="10246" width="28.33203125" style="160" customWidth="1"/>
    <col min="10247" max="10248" width="8.86328125" style="160"/>
    <col min="10249" max="10249" width="10.33203125" style="160" bestFit="1" customWidth="1"/>
    <col min="10250" max="10497" width="8.86328125" style="160"/>
    <col min="10498" max="10498" width="4.46484375" style="160" customWidth="1"/>
    <col min="10499" max="10499" width="36.1328125" style="160" customWidth="1"/>
    <col min="10500" max="10500" width="23.6640625" style="160" customWidth="1"/>
    <col min="10501" max="10501" width="27.33203125" style="160" customWidth="1"/>
    <col min="10502" max="10502" width="28.33203125" style="160" customWidth="1"/>
    <col min="10503" max="10504" width="8.86328125" style="160"/>
    <col min="10505" max="10505" width="10.33203125" style="160" bestFit="1" customWidth="1"/>
    <col min="10506" max="10753" width="8.86328125" style="160"/>
    <col min="10754" max="10754" width="4.46484375" style="160" customWidth="1"/>
    <col min="10755" max="10755" width="36.1328125" style="160" customWidth="1"/>
    <col min="10756" max="10756" width="23.6640625" style="160" customWidth="1"/>
    <col min="10757" max="10757" width="27.33203125" style="160" customWidth="1"/>
    <col min="10758" max="10758" width="28.33203125" style="160" customWidth="1"/>
    <col min="10759" max="10760" width="8.86328125" style="160"/>
    <col min="10761" max="10761" width="10.33203125" style="160" bestFit="1" customWidth="1"/>
    <col min="10762" max="11009" width="8.86328125" style="160"/>
    <col min="11010" max="11010" width="4.46484375" style="160" customWidth="1"/>
    <col min="11011" max="11011" width="36.1328125" style="160" customWidth="1"/>
    <col min="11012" max="11012" width="23.6640625" style="160" customWidth="1"/>
    <col min="11013" max="11013" width="27.33203125" style="160" customWidth="1"/>
    <col min="11014" max="11014" width="28.33203125" style="160" customWidth="1"/>
    <col min="11015" max="11016" width="8.86328125" style="160"/>
    <col min="11017" max="11017" width="10.33203125" style="160" bestFit="1" customWidth="1"/>
    <col min="11018" max="11265" width="8.86328125" style="160"/>
    <col min="11266" max="11266" width="4.46484375" style="160" customWidth="1"/>
    <col min="11267" max="11267" width="36.1328125" style="160" customWidth="1"/>
    <col min="11268" max="11268" width="23.6640625" style="160" customWidth="1"/>
    <col min="11269" max="11269" width="27.33203125" style="160" customWidth="1"/>
    <col min="11270" max="11270" width="28.33203125" style="160" customWidth="1"/>
    <col min="11271" max="11272" width="8.86328125" style="160"/>
    <col min="11273" max="11273" width="10.33203125" style="160" bestFit="1" customWidth="1"/>
    <col min="11274" max="11521" width="8.86328125" style="160"/>
    <col min="11522" max="11522" width="4.46484375" style="160" customWidth="1"/>
    <col min="11523" max="11523" width="36.1328125" style="160" customWidth="1"/>
    <col min="11524" max="11524" width="23.6640625" style="160" customWidth="1"/>
    <col min="11525" max="11525" width="27.33203125" style="160" customWidth="1"/>
    <col min="11526" max="11526" width="28.33203125" style="160" customWidth="1"/>
    <col min="11527" max="11528" width="8.86328125" style="160"/>
    <col min="11529" max="11529" width="10.33203125" style="160" bestFit="1" customWidth="1"/>
    <col min="11530" max="11777" width="8.86328125" style="160"/>
    <col min="11778" max="11778" width="4.46484375" style="160" customWidth="1"/>
    <col min="11779" max="11779" width="36.1328125" style="160" customWidth="1"/>
    <col min="11780" max="11780" width="23.6640625" style="160" customWidth="1"/>
    <col min="11781" max="11781" width="27.33203125" style="160" customWidth="1"/>
    <col min="11782" max="11782" width="28.33203125" style="160" customWidth="1"/>
    <col min="11783" max="11784" width="8.86328125" style="160"/>
    <col min="11785" max="11785" width="10.33203125" style="160" bestFit="1" customWidth="1"/>
    <col min="11786" max="12033" width="8.86328125" style="160"/>
    <col min="12034" max="12034" width="4.46484375" style="160" customWidth="1"/>
    <col min="12035" max="12035" width="36.1328125" style="160" customWidth="1"/>
    <col min="12036" max="12036" width="23.6640625" style="160" customWidth="1"/>
    <col min="12037" max="12037" width="27.33203125" style="160" customWidth="1"/>
    <col min="12038" max="12038" width="28.33203125" style="160" customWidth="1"/>
    <col min="12039" max="12040" width="8.86328125" style="160"/>
    <col min="12041" max="12041" width="10.33203125" style="160" bestFit="1" customWidth="1"/>
    <col min="12042" max="12289" width="8.86328125" style="160"/>
    <col min="12290" max="12290" width="4.46484375" style="160" customWidth="1"/>
    <col min="12291" max="12291" width="36.1328125" style="160" customWidth="1"/>
    <col min="12292" max="12292" width="23.6640625" style="160" customWidth="1"/>
    <col min="12293" max="12293" width="27.33203125" style="160" customWidth="1"/>
    <col min="12294" max="12294" width="28.33203125" style="160" customWidth="1"/>
    <col min="12295" max="12296" width="8.86328125" style="160"/>
    <col min="12297" max="12297" width="10.33203125" style="160" bestFit="1" customWidth="1"/>
    <col min="12298" max="12545" width="8.86328125" style="160"/>
    <col min="12546" max="12546" width="4.46484375" style="160" customWidth="1"/>
    <col min="12547" max="12547" width="36.1328125" style="160" customWidth="1"/>
    <col min="12548" max="12548" width="23.6640625" style="160" customWidth="1"/>
    <col min="12549" max="12549" width="27.33203125" style="160" customWidth="1"/>
    <col min="12550" max="12550" width="28.33203125" style="160" customWidth="1"/>
    <col min="12551" max="12552" width="8.86328125" style="160"/>
    <col min="12553" max="12553" width="10.33203125" style="160" bestFit="1" customWidth="1"/>
    <col min="12554" max="12801" width="8.86328125" style="160"/>
    <col min="12802" max="12802" width="4.46484375" style="160" customWidth="1"/>
    <col min="12803" max="12803" width="36.1328125" style="160" customWidth="1"/>
    <col min="12804" max="12804" width="23.6640625" style="160" customWidth="1"/>
    <col min="12805" max="12805" width="27.33203125" style="160" customWidth="1"/>
    <col min="12806" max="12806" width="28.33203125" style="160" customWidth="1"/>
    <col min="12807" max="12808" width="8.86328125" style="160"/>
    <col min="12809" max="12809" width="10.33203125" style="160" bestFit="1" customWidth="1"/>
    <col min="12810" max="13057" width="8.86328125" style="160"/>
    <col min="13058" max="13058" width="4.46484375" style="160" customWidth="1"/>
    <col min="13059" max="13059" width="36.1328125" style="160" customWidth="1"/>
    <col min="13060" max="13060" width="23.6640625" style="160" customWidth="1"/>
    <col min="13061" max="13061" width="27.33203125" style="160" customWidth="1"/>
    <col min="13062" max="13062" width="28.33203125" style="160" customWidth="1"/>
    <col min="13063" max="13064" width="8.86328125" style="160"/>
    <col min="13065" max="13065" width="10.33203125" style="160" bestFit="1" customWidth="1"/>
    <col min="13066" max="13313" width="8.86328125" style="160"/>
    <col min="13314" max="13314" width="4.46484375" style="160" customWidth="1"/>
    <col min="13315" max="13315" width="36.1328125" style="160" customWidth="1"/>
    <col min="13316" max="13316" width="23.6640625" style="160" customWidth="1"/>
    <col min="13317" max="13317" width="27.33203125" style="160" customWidth="1"/>
    <col min="13318" max="13318" width="28.33203125" style="160" customWidth="1"/>
    <col min="13319" max="13320" width="8.86328125" style="160"/>
    <col min="13321" max="13321" width="10.33203125" style="160" bestFit="1" customWidth="1"/>
    <col min="13322" max="13569" width="8.86328125" style="160"/>
    <col min="13570" max="13570" width="4.46484375" style="160" customWidth="1"/>
    <col min="13571" max="13571" width="36.1328125" style="160" customWidth="1"/>
    <col min="13572" max="13572" width="23.6640625" style="160" customWidth="1"/>
    <col min="13573" max="13573" width="27.33203125" style="160" customWidth="1"/>
    <col min="13574" max="13574" width="28.33203125" style="160" customWidth="1"/>
    <col min="13575" max="13576" width="8.86328125" style="160"/>
    <col min="13577" max="13577" width="10.33203125" style="160" bestFit="1" customWidth="1"/>
    <col min="13578" max="13825" width="8.86328125" style="160"/>
    <col min="13826" max="13826" width="4.46484375" style="160" customWidth="1"/>
    <col min="13827" max="13827" width="36.1328125" style="160" customWidth="1"/>
    <col min="13828" max="13828" width="23.6640625" style="160" customWidth="1"/>
    <col min="13829" max="13829" width="27.33203125" style="160" customWidth="1"/>
    <col min="13830" max="13830" width="28.33203125" style="160" customWidth="1"/>
    <col min="13831" max="13832" width="8.86328125" style="160"/>
    <col min="13833" max="13833" width="10.33203125" style="160" bestFit="1" customWidth="1"/>
    <col min="13834" max="14081" width="8.86328125" style="160"/>
    <col min="14082" max="14082" width="4.46484375" style="160" customWidth="1"/>
    <col min="14083" max="14083" width="36.1328125" style="160" customWidth="1"/>
    <col min="14084" max="14084" width="23.6640625" style="160" customWidth="1"/>
    <col min="14085" max="14085" width="27.33203125" style="160" customWidth="1"/>
    <col min="14086" max="14086" width="28.33203125" style="160" customWidth="1"/>
    <col min="14087" max="14088" width="8.86328125" style="160"/>
    <col min="14089" max="14089" width="10.33203125" style="160" bestFit="1" customWidth="1"/>
    <col min="14090" max="14337" width="8.86328125" style="160"/>
    <col min="14338" max="14338" width="4.46484375" style="160" customWidth="1"/>
    <col min="14339" max="14339" width="36.1328125" style="160" customWidth="1"/>
    <col min="14340" max="14340" width="23.6640625" style="160" customWidth="1"/>
    <col min="14341" max="14341" width="27.33203125" style="160" customWidth="1"/>
    <col min="14342" max="14342" width="28.33203125" style="160" customWidth="1"/>
    <col min="14343" max="14344" width="8.86328125" style="160"/>
    <col min="14345" max="14345" width="10.33203125" style="160" bestFit="1" customWidth="1"/>
    <col min="14346" max="14593" width="8.86328125" style="160"/>
    <col min="14594" max="14594" width="4.46484375" style="160" customWidth="1"/>
    <col min="14595" max="14595" width="36.1328125" style="160" customWidth="1"/>
    <col min="14596" max="14596" width="23.6640625" style="160" customWidth="1"/>
    <col min="14597" max="14597" width="27.33203125" style="160" customWidth="1"/>
    <col min="14598" max="14598" width="28.33203125" style="160" customWidth="1"/>
    <col min="14599" max="14600" width="8.86328125" style="160"/>
    <col min="14601" max="14601" width="10.33203125" style="160" bestFit="1" customWidth="1"/>
    <col min="14602" max="14849" width="8.86328125" style="160"/>
    <col min="14850" max="14850" width="4.46484375" style="160" customWidth="1"/>
    <col min="14851" max="14851" width="36.1328125" style="160" customWidth="1"/>
    <col min="14852" max="14852" width="23.6640625" style="160" customWidth="1"/>
    <col min="14853" max="14853" width="27.33203125" style="160" customWidth="1"/>
    <col min="14854" max="14854" width="28.33203125" style="160" customWidth="1"/>
    <col min="14855" max="14856" width="8.86328125" style="160"/>
    <col min="14857" max="14857" width="10.33203125" style="160" bestFit="1" customWidth="1"/>
    <col min="14858" max="15105" width="8.86328125" style="160"/>
    <col min="15106" max="15106" width="4.46484375" style="160" customWidth="1"/>
    <col min="15107" max="15107" width="36.1328125" style="160" customWidth="1"/>
    <col min="15108" max="15108" width="23.6640625" style="160" customWidth="1"/>
    <col min="15109" max="15109" width="27.33203125" style="160" customWidth="1"/>
    <col min="15110" max="15110" width="28.33203125" style="160" customWidth="1"/>
    <col min="15111" max="15112" width="8.86328125" style="160"/>
    <col min="15113" max="15113" width="10.33203125" style="160" bestFit="1" customWidth="1"/>
    <col min="15114" max="15361" width="8.86328125" style="160"/>
    <col min="15362" max="15362" width="4.46484375" style="160" customWidth="1"/>
    <col min="15363" max="15363" width="36.1328125" style="160" customWidth="1"/>
    <col min="15364" max="15364" width="23.6640625" style="160" customWidth="1"/>
    <col min="15365" max="15365" width="27.33203125" style="160" customWidth="1"/>
    <col min="15366" max="15366" width="28.33203125" style="160" customWidth="1"/>
    <col min="15367" max="15368" width="8.86328125" style="160"/>
    <col min="15369" max="15369" width="10.33203125" style="160" bestFit="1" customWidth="1"/>
    <col min="15370" max="15617" width="8.86328125" style="160"/>
    <col min="15618" max="15618" width="4.46484375" style="160" customWidth="1"/>
    <col min="15619" max="15619" width="36.1328125" style="160" customWidth="1"/>
    <col min="15620" max="15620" width="23.6640625" style="160" customWidth="1"/>
    <col min="15621" max="15621" width="27.33203125" style="160" customWidth="1"/>
    <col min="15622" max="15622" width="28.33203125" style="160" customWidth="1"/>
    <col min="15623" max="15624" width="8.86328125" style="160"/>
    <col min="15625" max="15625" width="10.33203125" style="160" bestFit="1" customWidth="1"/>
    <col min="15626" max="15873" width="8.86328125" style="160"/>
    <col min="15874" max="15874" width="4.46484375" style="160" customWidth="1"/>
    <col min="15875" max="15875" width="36.1328125" style="160" customWidth="1"/>
    <col min="15876" max="15876" width="23.6640625" style="160" customWidth="1"/>
    <col min="15877" max="15877" width="27.33203125" style="160" customWidth="1"/>
    <col min="15878" max="15878" width="28.33203125" style="160" customWidth="1"/>
    <col min="15879" max="15880" width="8.86328125" style="160"/>
    <col min="15881" max="15881" width="10.33203125" style="160" bestFit="1" customWidth="1"/>
    <col min="15882" max="16129" width="8.86328125" style="160"/>
    <col min="16130" max="16130" width="4.46484375" style="160" customWidth="1"/>
    <col min="16131" max="16131" width="36.1328125" style="160" customWidth="1"/>
    <col min="16132" max="16132" width="23.6640625" style="160" customWidth="1"/>
    <col min="16133" max="16133" width="27.33203125" style="160" customWidth="1"/>
    <col min="16134" max="16134" width="28.33203125" style="160" customWidth="1"/>
    <col min="16135" max="16136" width="8.86328125" style="160"/>
    <col min="16137" max="16137" width="10.33203125" style="160" bestFit="1" customWidth="1"/>
    <col min="16138" max="16384" width="8.86328125" style="160"/>
  </cols>
  <sheetData>
    <row r="1" spans="2:11">
      <c r="F1" s="161"/>
    </row>
    <row r="3" spans="2:11">
      <c r="B3" s="713" t="s">
        <v>537</v>
      </c>
      <c r="C3" s="713"/>
      <c r="D3" s="713"/>
      <c r="E3" s="713"/>
      <c r="F3" s="713"/>
      <c r="G3" s="162"/>
    </row>
    <row r="4" spans="2:11">
      <c r="B4" s="713" t="s">
        <v>538</v>
      </c>
      <c r="C4" s="713"/>
      <c r="D4" s="713"/>
      <c r="E4" s="713"/>
      <c r="F4" s="713"/>
      <c r="G4" s="163"/>
    </row>
    <row r="8" spans="2:11" ht="16.149999999999999" thickBot="1">
      <c r="F8" s="164" t="s">
        <v>282</v>
      </c>
    </row>
    <row r="9" spans="2:11" ht="15.6" customHeight="1">
      <c r="B9" s="714" t="s">
        <v>285</v>
      </c>
      <c r="C9" s="719" t="s">
        <v>284</v>
      </c>
      <c r="D9" s="714" t="s">
        <v>539</v>
      </c>
      <c r="E9" s="714" t="s">
        <v>540</v>
      </c>
      <c r="F9" s="719" t="s">
        <v>256</v>
      </c>
    </row>
    <row r="10" spans="2:11" ht="13.25" customHeight="1">
      <c r="B10" s="715"/>
      <c r="C10" s="720"/>
      <c r="D10" s="715"/>
      <c r="E10" s="717"/>
      <c r="F10" s="720"/>
    </row>
    <row r="11" spans="2:11" ht="14" customHeight="1" thickBot="1">
      <c r="B11" s="716"/>
      <c r="C11" s="721"/>
      <c r="D11" s="716"/>
      <c r="E11" s="718"/>
      <c r="F11" s="721"/>
    </row>
    <row r="12" spans="2:11">
      <c r="B12" s="146">
        <v>1</v>
      </c>
      <c r="C12" s="147" t="s">
        <v>294</v>
      </c>
      <c r="D12" s="150">
        <v>6480900.1600000001</v>
      </c>
      <c r="E12" s="151">
        <v>5296028.07</v>
      </c>
      <c r="F12" s="152">
        <f>SUM(D12:E12)</f>
        <v>11776928.23</v>
      </c>
      <c r="G12" s="165"/>
      <c r="I12" s="165"/>
      <c r="K12" s="165"/>
    </row>
    <row r="13" spans="2:11" ht="16.149999999999999" thickBot="1">
      <c r="B13" s="148">
        <v>2</v>
      </c>
      <c r="C13" s="149" t="s">
        <v>541</v>
      </c>
      <c r="D13" s="153">
        <v>93193.85</v>
      </c>
      <c r="E13" s="154">
        <v>77232.680000000008</v>
      </c>
      <c r="F13" s="155">
        <f>SUM(D13:E13)</f>
        <v>170426.53000000003</v>
      </c>
      <c r="G13" s="165"/>
      <c r="I13" s="165"/>
      <c r="K13" s="165"/>
    </row>
    <row r="19" spans="2:6">
      <c r="B19" s="712" t="s">
        <v>542</v>
      </c>
      <c r="C19" s="712"/>
      <c r="D19" s="712"/>
      <c r="E19" s="712"/>
      <c r="F19" s="712"/>
    </row>
  </sheetData>
  <protectedRanges>
    <protectedRange sqref="D13" name="Islaidos 2.2_3"/>
    <protectedRange sqref="D12" name="Islaidos 2.2_1"/>
    <protectedRange sqref="E12" name="Islaidos 2.1_1"/>
    <protectedRange sqref="E13" name="Islaidos 2.2"/>
  </protectedRanges>
  <mergeCells count="8">
    <mergeCell ref="B19:F19"/>
    <mergeCell ref="B3:F3"/>
    <mergeCell ref="B4:F4"/>
    <mergeCell ref="B9:B11"/>
    <mergeCell ref="D9:D11"/>
    <mergeCell ref="E9:E11"/>
    <mergeCell ref="C9:C11"/>
    <mergeCell ref="F9:F11"/>
  </mergeCells>
  <pageMargins left="0.70866141732283472" right="0.70866141732283472" top="0.74803149606299213" bottom="0.74803149606299213" header="0.31496062992125984" footer="0.31496062992125984"/>
  <pageSetup paperSize="9" scale="67" firstPageNumber="22" fitToHeight="0" orientation="portrait" useFirstPageNumber="1" r:id="rId1"/>
  <headerFooter>
    <oddHeader>&amp;C&amp;P</oddHeader>
  </headerFooter>
</worksheet>
</file>

<file path=docMetadata/LabelInfo.xml><?xml version="1.0" encoding="utf-8"?>
<clbl:labelList xmlns:clbl="http://schemas.microsoft.com/office/2020/mipLabelMetadata">
  <clbl:label id="{07e6ee35-6814-4790-8669-80767694c28d}" enabled="0" method="" siteId="{07e6ee35-6814-4790-8669-80767694c2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Titulinis</vt:lpstr>
      <vt:lpstr>Turinys</vt:lpstr>
      <vt:lpstr> Forma Nr. 1-PSDF</vt:lpstr>
      <vt:lpstr>Forma Nr. 1-PSDF-P</vt:lpstr>
      <vt:lpstr>Forma 1-PSDF-I </vt:lpstr>
      <vt:lpstr>Forma 1-PSDF-R </vt:lpstr>
      <vt:lpstr>Forma Nr. 2</vt:lpstr>
      <vt:lpstr>Forma Nr. BV-2</vt:lpstr>
      <vt:lpstr>DU pažyma</vt:lpstr>
      <vt:lpstr>' Forma Nr. 1-PSDF'!Print_Area</vt:lpstr>
      <vt:lpstr>'Forma 1-PSDF-R '!Print_Area</vt:lpstr>
      <vt:lpstr>Titulinis!Print_Area</vt:lpstr>
      <vt:lpstr>Turinys!Print_Area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Donata Šugalskienė</dc:creator>
  <cp:keywords/>
  <dc:description/>
  <cp:lastModifiedBy>Vilija Dabašinskienė</cp:lastModifiedBy>
  <cp:revision/>
  <cp:lastPrinted>2025-12-04T06:28:26Z</cp:lastPrinted>
  <dcterms:created xsi:type="dcterms:W3CDTF">2015-06-05T18:19:34Z</dcterms:created>
  <dcterms:modified xsi:type="dcterms:W3CDTF">2025-12-16T05:38:38Z</dcterms:modified>
  <cp:category/>
  <cp:contentStatus/>
</cp:coreProperties>
</file>